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patricia.rosas\OneDrive - MUNICIPIO DE TOCANCIPA\Documentos\SEGUIMIENTO_2023_2S\"/>
    </mc:Choice>
  </mc:AlternateContent>
  <xr:revisionPtr revIDLastSave="0" documentId="13_ncr:1_{E3FFC37C-20C4-4330-ADB7-95965B76BFF1}" xr6:coauthVersionLast="47" xr6:coauthVersionMax="47" xr10:uidLastSave="{00000000-0000-0000-0000-000000000000}"/>
  <bookViews>
    <workbookView xWindow="-120" yWindow="-120" windowWidth="29040" windowHeight="15720" firstSheet="20" activeTab="29" xr2:uid="{00000000-000D-0000-FFFF-FFFF00000000}"/>
  </bookViews>
  <sheets>
    <sheet name="Ejecución Presupuestal" sheetId="20" r:id="rId1"/>
    <sheet name="Avance Físico" sheetId="21" r:id="rId2"/>
    <sheet name="Gobierno" sheetId="22" r:id="rId3"/>
    <sheet name="G_resumen" sheetId="4" r:id="rId4"/>
    <sheet name="Social" sheetId="23" r:id="rId5"/>
    <sheet name="S_resumen" sheetId="5" r:id="rId6"/>
    <sheet name="Salud" sheetId="24" r:id="rId7"/>
    <sheet name="Sa_resumen" sheetId="6" r:id="rId8"/>
    <sheet name="Educación" sheetId="25" r:id="rId9"/>
    <sheet name="E_resumen" sheetId="9" r:id="rId10"/>
    <sheet name="Cultura" sheetId="26" r:id="rId11"/>
    <sheet name="C_resumen" sheetId="7" r:id="rId12"/>
    <sheet name="Deportes" sheetId="27" r:id="rId13"/>
    <sheet name="D_resumen" sheetId="8" r:id="rId14"/>
    <sheet name="Planeación" sheetId="28" r:id="rId15"/>
    <sheet name="P_resumen" sheetId="10" r:id="rId16"/>
    <sheet name="Infraestructura" sheetId="29" r:id="rId17"/>
    <sheet name="I_resumen" sheetId="11" r:id="rId18"/>
    <sheet name="S_Públicos" sheetId="30" r:id="rId19"/>
    <sheet name="S_P_resumen" sheetId="12" r:id="rId20"/>
    <sheet name="Ambiente" sheetId="31" r:id="rId21"/>
    <sheet name="A_resumen" sheetId="13" r:id="rId22"/>
    <sheet name="Económico" sheetId="32" r:id="rId23"/>
    <sheet name="Ec_resumen" sheetId="14" r:id="rId24"/>
    <sheet name="Administrativa" sheetId="33" r:id="rId25"/>
    <sheet name="Ad_resumen" sheetId="15" r:id="rId26"/>
    <sheet name="Hacienda" sheetId="34" r:id="rId27"/>
    <sheet name="H_resumen" sheetId="16" r:id="rId28"/>
    <sheet name="Jurídica" sheetId="17" r:id="rId29"/>
    <sheet name="Comunicaciones" sheetId="18" r:id="rId30"/>
  </sheets>
  <definedNames>
    <definedName name="_xlnm._FilterDatabase" localSheetId="29" hidden="1">Comunicaciones!$E$9:$E$10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34" l="1"/>
  <c r="F8" i="34"/>
  <c r="P11" i="33"/>
  <c r="K11" i="33"/>
  <c r="F11" i="33"/>
  <c r="P17" i="32"/>
  <c r="K17" i="32"/>
  <c r="F17" i="32"/>
  <c r="P18" i="31"/>
  <c r="K18" i="31"/>
  <c r="F18" i="31"/>
  <c r="P12" i="30"/>
  <c r="K12" i="30"/>
  <c r="F12" i="30"/>
  <c r="P24" i="11"/>
  <c r="K24" i="11"/>
  <c r="F24" i="11"/>
  <c r="P13" i="28"/>
  <c r="K13" i="28"/>
  <c r="F13" i="28"/>
  <c r="P10" i="27"/>
  <c r="K10" i="27"/>
  <c r="F10" i="27"/>
  <c r="P12" i="26"/>
  <c r="K12" i="26"/>
  <c r="F12" i="26"/>
  <c r="P12" i="25"/>
  <c r="K12" i="25"/>
  <c r="F12" i="25"/>
  <c r="P16" i="6"/>
  <c r="K16" i="6"/>
  <c r="F16" i="6"/>
  <c r="P20" i="23"/>
  <c r="K20" i="23"/>
  <c r="F20" i="23"/>
  <c r="P19" i="22"/>
  <c r="K19" i="22"/>
  <c r="F19" i="22"/>
  <c r="L8" i="16"/>
  <c r="L11" i="15"/>
  <c r="L17" i="14"/>
  <c r="L18" i="13"/>
  <c r="L12" i="12"/>
  <c r="L24" i="29"/>
  <c r="L13" i="10"/>
  <c r="L10" i="8"/>
  <c r="L12" i="7"/>
  <c r="L12" i="9"/>
  <c r="L16" i="24"/>
  <c r="L20" i="5"/>
  <c r="L19" i="4"/>
  <c r="U8" i="34"/>
  <c r="U11" i="33"/>
  <c r="U17" i="32"/>
  <c r="U18" i="31"/>
  <c r="U12" i="30"/>
  <c r="U13" i="28"/>
  <c r="U10" i="27"/>
  <c r="U12" i="26"/>
  <c r="U12" i="25"/>
  <c r="U20" i="23"/>
  <c r="U19" i="22"/>
  <c r="U24" i="11"/>
  <c r="U16" i="6"/>
  <c r="D40" i="20"/>
  <c r="E40" i="20"/>
  <c r="E39" i="20"/>
  <c r="E38" i="20"/>
  <c r="E37" i="20"/>
  <c r="E36" i="20"/>
  <c r="E35" i="20"/>
  <c r="E34" i="20"/>
  <c r="E33" i="20"/>
  <c r="E32" i="20"/>
  <c r="E31" i="20"/>
  <c r="E30" i="20"/>
  <c r="E29" i="20"/>
  <c r="E28" i="20"/>
  <c r="E27" i="20"/>
  <c r="E26" i="20"/>
  <c r="E25" i="20"/>
  <c r="Q20" i="20"/>
  <c r="R20" i="20" s="1"/>
  <c r="K20" i="20"/>
  <c r="L20" i="20" s="1"/>
  <c r="E20" i="20"/>
  <c r="F20" i="20" s="1"/>
</calcChain>
</file>

<file path=xl/sharedStrings.xml><?xml version="1.0" encoding="utf-8"?>
<sst xmlns="http://schemas.openxmlformats.org/spreadsheetml/2006/main" count="4631" uniqueCount="650">
  <si>
    <t>Cultura</t>
  </si>
  <si>
    <t>Servicio de fomento para el acceso de la oferta cultural</t>
  </si>
  <si>
    <t>Personas beneficiadas</t>
  </si>
  <si>
    <t>4000.00</t>
  </si>
  <si>
    <t>100.00</t>
  </si>
  <si>
    <t>Sobresaliente</t>
  </si>
  <si>
    <t>6587.00</t>
  </si>
  <si>
    <t>0.00</t>
  </si>
  <si>
    <t>Servicio de apoyo para la organización y la participación del sector artístico, cultural y la ciudadanía</t>
  </si>
  <si>
    <t>Consejos apoyados</t>
  </si>
  <si>
    <t>No programado</t>
  </si>
  <si>
    <t>No reportado</t>
  </si>
  <si>
    <t>No se evalúa</t>
  </si>
  <si>
    <t>2.00</t>
  </si>
  <si>
    <t>Crítico</t>
  </si>
  <si>
    <t>Esta meta se cumplió con acciones gestionadas sin la inversión de recursos, en el siguiente año se cumplirá en su totalidad la meta</t>
  </si>
  <si>
    <t>1.00</t>
  </si>
  <si>
    <t>50.00</t>
  </si>
  <si>
    <t>Bajo</t>
  </si>
  <si>
    <t>Reunión semestral con los miembros del concejo de cultura, se socializo la agenda cultural para el municipio vigencia 2023.</t>
  </si>
  <si>
    <t>Servicio de circulación artística y cultural</t>
  </si>
  <si>
    <t>Producciones artísticas en circulación</t>
  </si>
  <si>
    <t>25.00</t>
  </si>
  <si>
    <t>La meta no se ejecutó ni física, ni financieramente</t>
  </si>
  <si>
    <t>0.50</t>
  </si>
  <si>
    <t>Se adelantó con gestión y a finales del año se programó ejecución financiera, la cual quedó pendiente para el año 2023</t>
  </si>
  <si>
    <t>Se ha ejecutado una agenda de salidas intermunicipales, departamentales y nacionales con los diferentes grupos artísticos y culturales.</t>
  </si>
  <si>
    <t>Servicios bibliotecarios</t>
  </si>
  <si>
    <t>Usuarios atendidos</t>
  </si>
  <si>
    <t>No ejecutado</t>
  </si>
  <si>
    <t>No hubo avance físico por pandemia no se atendieron en las bibliotecas</t>
  </si>
  <si>
    <t>5087.00</t>
  </si>
  <si>
    <t>4122.00</t>
  </si>
  <si>
    <t>Servicio de acceso a materiales de lectura</t>
  </si>
  <si>
    <t>Materiales de lectura disponibles en bibliotecas públicas y espacios no convencionales</t>
  </si>
  <si>
    <t>No hubo avance físico ni financiero por pandemia</t>
  </si>
  <si>
    <t>Servicio de apoyo al proceso de formación artística y cultural</t>
  </si>
  <si>
    <t xml:space="preserve">Proceso de Formación atendidos </t>
  </si>
  <si>
    <t>Servicio de apoyo financiero al sector artístico y cultural</t>
  </si>
  <si>
    <t>Estímulos otorgados</t>
  </si>
  <si>
    <t>Servicio de promoción de actividades culturales</t>
  </si>
  <si>
    <t>Eventos de promoción de actividades culturales realizados</t>
  </si>
  <si>
    <t>40.00</t>
  </si>
  <si>
    <t>193.00</t>
  </si>
  <si>
    <t>Servicio de generación de alertas tempranas para la gestión del riesgo de desastres</t>
  </si>
  <si>
    <t>Sistemas de alertas tempranas para la gestión del riesgo de desastres diseñados</t>
  </si>
  <si>
    <t xml:space="preserve">Este proyecto corresponde a un compromiso POMCA, en donde la CAR es el ejecutor. El municipio esta atento a apoyar cuando sea solicitado. </t>
  </si>
  <si>
    <t>Servicio de justicia a los ciudadanos</t>
  </si>
  <si>
    <t>Ciudadanos con servicio de justicia prestados en la Casa de la Justicia</t>
  </si>
  <si>
    <t>5000.00</t>
  </si>
  <si>
    <t>Se atendieron a las 5000 personas virtualmente y no se ejecutó recursos</t>
  </si>
  <si>
    <t>11733.00</t>
  </si>
  <si>
    <t>Casas de Justicia en operación</t>
  </si>
  <si>
    <t>La Casa de justicia estuvo en operación, pero no se invirtió recursos por pandemia</t>
  </si>
  <si>
    <t>Servicio de divulgación para promover los métodos de resolución de conflictos</t>
  </si>
  <si>
    <t>Eventos de divulgación realizados</t>
  </si>
  <si>
    <t>10.00</t>
  </si>
  <si>
    <t>7.00</t>
  </si>
  <si>
    <t>70.00</t>
  </si>
  <si>
    <t>Medio</t>
  </si>
  <si>
    <t>11.00</t>
  </si>
  <si>
    <t>El cumplimiento de la meta se realiza con recursos de gestión a través de convenios interadministrativos con universidades</t>
  </si>
  <si>
    <t>9.00</t>
  </si>
  <si>
    <t>Centros de atención especializada CAE para el restablecimiento de derechos adecuados</t>
  </si>
  <si>
    <t>Convenio vigente.</t>
  </si>
  <si>
    <t>Servicio de promoción de temas de dinámica relacional y desarrollo autónomo</t>
  </si>
  <si>
    <t>Niños, niñas y adolescentes atendidos</t>
  </si>
  <si>
    <t>2510.00</t>
  </si>
  <si>
    <t>2600.00</t>
  </si>
  <si>
    <t>2625.00</t>
  </si>
  <si>
    <t>2631.00</t>
  </si>
  <si>
    <t>Comisarias de Familia ampliada</t>
  </si>
  <si>
    <t>Contratos vigentes profesionales de apoyo.</t>
  </si>
  <si>
    <t>Servicio de promoción de convivencia y no repetición</t>
  </si>
  <si>
    <t>Iniciativas para la promoción de la convivencia implementadas</t>
  </si>
  <si>
    <t>Servicio información implementado</t>
  </si>
  <si>
    <t>Sistemas de información implementados</t>
  </si>
  <si>
    <t>0.20</t>
  </si>
  <si>
    <t>0.40</t>
  </si>
  <si>
    <t>0.05</t>
  </si>
  <si>
    <t>0.95</t>
  </si>
  <si>
    <t>Proceso contractual en revisión jurídica, se dará cumplimiento en el último trimestre de 2023.</t>
  </si>
  <si>
    <t>Servicio de promoción a la participación ciudadana</t>
  </si>
  <si>
    <t>Iniciativas para la promoción de la participación ciudadana implementada</t>
  </si>
  <si>
    <t>3.00</t>
  </si>
  <si>
    <t>Actividades para dar cierre al cumplimiento de la meta programadas para llevar a cabo en el último trimestre de 2023.</t>
  </si>
  <si>
    <t>Servicio de promoción y difusión para la seguridad de transporte</t>
  </si>
  <si>
    <t>Estrategias implementadas</t>
  </si>
  <si>
    <t>Documentos de planeación</t>
  </si>
  <si>
    <t>Documentos de planeación realizados (Plan de movilidad revisado y actualizado)</t>
  </si>
  <si>
    <t>Documentos de planeación realizados</t>
  </si>
  <si>
    <t>0.25</t>
  </si>
  <si>
    <t>20.00</t>
  </si>
  <si>
    <t>Servicio de sensibilización a los actores viales</t>
  </si>
  <si>
    <t>Personas sensibilizadas</t>
  </si>
  <si>
    <t>500.00</t>
  </si>
  <si>
    <t>2812.00</t>
  </si>
  <si>
    <t>Meta ejecutada sin la inversión de recursos</t>
  </si>
  <si>
    <t>1000.00</t>
  </si>
  <si>
    <t>Jornadas adicionales programadas para el último trimestre de 2023.</t>
  </si>
  <si>
    <t>Seguimiento y control a la operación de los sistemas de transporte</t>
  </si>
  <si>
    <t>Operativos de control realizados</t>
  </si>
  <si>
    <t>48.00</t>
  </si>
  <si>
    <t>Se adelantaron sin ejecución de recursos</t>
  </si>
  <si>
    <t>26.00</t>
  </si>
  <si>
    <t>55.00</t>
  </si>
  <si>
    <t>63.00</t>
  </si>
  <si>
    <t>47.00</t>
  </si>
  <si>
    <t>Satisfactorio</t>
  </si>
  <si>
    <t>Servicios de implementación del plan de gestión del riesgo de desastres y estrategia para la respuesta a emergencias</t>
  </si>
  <si>
    <t>Servicio de atención a emergencias y desastres</t>
  </si>
  <si>
    <t>Plan de gestión del riesgo de desastres y estrategia para la respuesta a emergencias implementados</t>
  </si>
  <si>
    <t>Se adelanta recolección de información para el ajuste del documento, el cual saldrá en el mes de Diciembre de 2023.</t>
  </si>
  <si>
    <t>Emergencias y desastres atendidas (programa de atención)</t>
  </si>
  <si>
    <t>0.70</t>
  </si>
  <si>
    <t>Este servicio se mantiene a través del convenio de Servicio Bomberil con el Cuerpo de Bomberos Voluntarios y, con la  atención a personas afectadas por eventos naturales, con las ayudas que se les dan</t>
  </si>
  <si>
    <t>Servicio de apoyo financiero para la atención de actividades de seguridad y órden público</t>
  </si>
  <si>
    <t>Organismos de seguridad dotados y apoyados (Policía y Ejercito Nacional)</t>
  </si>
  <si>
    <t>Educación</t>
  </si>
  <si>
    <t>Servicio de evaluación de la calidad de la educación preescolar, básica o media.</t>
  </si>
  <si>
    <t>Estudiantes evaluados con pruebas de calidad educativa</t>
  </si>
  <si>
    <t>Servicio de apoyo a proyectos pedagógicos productivos</t>
  </si>
  <si>
    <t>Establecimientos educativos beneficiados</t>
  </si>
  <si>
    <t>Servicio de articulación entre la educación media y el sector productivo.</t>
  </si>
  <si>
    <t xml:space="preserve">Programas y proyectos de educación pertinente articulados con el sector productivo </t>
  </si>
  <si>
    <t>8.00</t>
  </si>
  <si>
    <t>Ambientes de aprendizaje para la educación inicial preescolar, básica y media dotados</t>
  </si>
  <si>
    <t>Ambientes de aprendizaje dotados</t>
  </si>
  <si>
    <t>Servicio educativo</t>
  </si>
  <si>
    <t xml:space="preserve">Establecimientos Educativos en Operación </t>
  </si>
  <si>
    <t>Servicio de apoyo a la permanencia con alimentación escolar</t>
  </si>
  <si>
    <t>Raciones contratadas</t>
  </si>
  <si>
    <t>1475676.00</t>
  </si>
  <si>
    <t>1448585.00</t>
  </si>
  <si>
    <t>1316554.00</t>
  </si>
  <si>
    <t>Servicio de apoyo a la permanencia con transporte escolar</t>
  </si>
  <si>
    <t>Beneficiarios de transporte escolar</t>
  </si>
  <si>
    <t>3110.00</t>
  </si>
  <si>
    <t>1200.00</t>
  </si>
  <si>
    <t>3515.00</t>
  </si>
  <si>
    <t xml:space="preserve"> </t>
  </si>
  <si>
    <t>Servicio educativos de promoción del bilingüismo</t>
  </si>
  <si>
    <t>Estudiantes beneficiados con estrategias de promoción del bilingüismo</t>
  </si>
  <si>
    <t>565.00</t>
  </si>
  <si>
    <t>1050.00</t>
  </si>
  <si>
    <t>753.00</t>
  </si>
  <si>
    <t>Servicio de apoyo financiero para el acceso a la educación superior o terciaria (FOEST)</t>
  </si>
  <si>
    <t>Beneficiarios de estrategias o programas de  apoyo financiero para el acceso a la educación superior  o terciaria</t>
  </si>
  <si>
    <t>1561.00</t>
  </si>
  <si>
    <t>1606.00</t>
  </si>
  <si>
    <t>1657.00</t>
  </si>
  <si>
    <t>Servicio de apoyo en tecnologías de la información y las comunicaciones para la educación básica, primaria y secundaria</t>
  </si>
  <si>
    <t>Relación de estudiantes por terminal de cómputo en sedes educativas oficiales</t>
  </si>
  <si>
    <t xml:space="preserve">Servicio de promoción de la actividad física, la recreación y el deporte
</t>
  </si>
  <si>
    <t>Personas que acceden a servicios deportivos, recreativos y de actividad física</t>
  </si>
  <si>
    <t>Cantidad de personas atendidas en el programa de actividad física en el primer semestre, se proyecta completar el 100% en el cuarto trimestre del año.</t>
  </si>
  <si>
    <t>Servicio de apoyo a la actividad física, la recreación y el deporte</t>
  </si>
  <si>
    <t>Estímulos entregados</t>
  </si>
  <si>
    <t>15.00</t>
  </si>
  <si>
    <t>17.00</t>
  </si>
  <si>
    <t>Incentivos mensuales realizados en pagos de inscripciones y servicios de transporte, se proyecta completar el 100% en el cuarto trimestre del año.</t>
  </si>
  <si>
    <t>Servicio de administración de la infraestructura deportiva</t>
  </si>
  <si>
    <t>Infraestructura deportiva en operación</t>
  </si>
  <si>
    <t>60.00</t>
  </si>
  <si>
    <t>62.00</t>
  </si>
  <si>
    <t>Servicio de Escuelas Deportivas</t>
  </si>
  <si>
    <t>Niños, niñas, adolescentes y jóvenes inscritos en Escuelas Deportivas</t>
  </si>
  <si>
    <t>2302.00</t>
  </si>
  <si>
    <t>4200.00</t>
  </si>
  <si>
    <t xml:space="preserve">Cantidad total de Niños, niñas, adolescentes y jóvenes inscritos en Escuelas Deportivas en el primer semestre del año, la demanda supero la oferta proyectada.
</t>
  </si>
  <si>
    <t>Servicio de apoyo financiero a organismos deportivos</t>
  </si>
  <si>
    <t>Clubes deportivos apoyados</t>
  </si>
  <si>
    <t>5.00</t>
  </si>
  <si>
    <t xml:space="preserve">Se encuentra en proceso de estudio de documentación de cumplimiento legal y documental de los clubes para transferencia presupuestal a los mismos, se proyecta completar el 100% en el cuarto trimestre </t>
  </si>
  <si>
    <t>Servicio de organización de eventos deportivos comunitarios</t>
  </si>
  <si>
    <t>Eventos deportivos comunitarios realizados</t>
  </si>
  <si>
    <t>Se adelantaron sin la ejecución de recursos de inversión</t>
  </si>
  <si>
    <t>42.00</t>
  </si>
  <si>
    <t>16.00</t>
  </si>
  <si>
    <t>Se han realizado 16 eventos a la fecha, se proyecta completar el 100% en el cuarto trimestre del año.</t>
  </si>
  <si>
    <t>Servicio de preparación deportiva</t>
  </si>
  <si>
    <t>Atletas preparados</t>
  </si>
  <si>
    <t xml:space="preserve">El documento de política pública se realizo en 2022, actualmente se encuentra en proceso de socialización e implementación.
</t>
  </si>
  <si>
    <t>Servicio de información de vigilancia epidemiológica</t>
  </si>
  <si>
    <t xml:space="preserve">Eventos de interés en salud pública vigilados </t>
  </si>
  <si>
    <t>Documentos de lineamientos técnicos</t>
  </si>
  <si>
    <t>Compromisos intersectoriales que actúan sobre las inequidades en salud y determinantes sociales con articulación en el plan territorial  de Salud</t>
  </si>
  <si>
    <t>80.00</t>
  </si>
  <si>
    <t>Plan Territorial de Salud  con adaptación y adopción real y efectiva de los contenidos establecidos en el Plan Decenal de Salud Pública 2012 2021</t>
  </si>
  <si>
    <t>0.75</t>
  </si>
  <si>
    <t>Servicio de asistencia técnica a los municipios en la prestación del plan de Intervenciones colectivas</t>
  </si>
  <si>
    <t>Plan de Intervenciones colectivas ejecutado.</t>
  </si>
  <si>
    <t>90.00</t>
  </si>
  <si>
    <t>Se cumple dentro del Plan Territorial de Salud</t>
  </si>
  <si>
    <t>Servicio de asistencia técnica de los compromisos con las Entidades Administradoras de Planes de Beneficios, las administradoras de Riesgos Laborales , en el marco de sus competencias.</t>
  </si>
  <si>
    <t>Compromisos con las entidades administradoras de Planes de Beneficios Empresas Administradoras de Planes de Beneficio, las Administradoras de riesgos Laborales articulados en el Plan Territorial de salud en el marco de sus competencias</t>
  </si>
  <si>
    <t>Servicio de asistencia técnica a instituciones prestadoras de Servicio de salud</t>
  </si>
  <si>
    <t>Instituciones Prestadoras de Salud con asistencia técnica recibida en la Jurisdicción</t>
  </si>
  <si>
    <t>Servicio de Información sobre plan territorial de salud</t>
  </si>
  <si>
    <t>Personas informadas de forma completa, oportuna y veraz en la jurisdicción, de la forma como avanza la implementación y ejecución del Plan territorial de Salud</t>
  </si>
  <si>
    <t xml:space="preserve">Se ejecutó sin recursos de inversión </t>
  </si>
  <si>
    <t>Documentos de Investigación</t>
  </si>
  <si>
    <t>Documento de análisis real y efectivo de la situación de salud municipal incluyendo inequidades y enfoque de determinantes sociales.</t>
  </si>
  <si>
    <t>"Boletines epidemiológicos y COVE. 
Pendiente lineamientos del MSPS para ASIS"</t>
  </si>
  <si>
    <t>Servicio de divulgación y comunicación de estrategias de salud y promoción social</t>
  </si>
  <si>
    <t>Campañas de promoción y prevención producidas</t>
  </si>
  <si>
    <t>6.00</t>
  </si>
  <si>
    <t>Servicio de supervisión del acceso de la población a los servicios de salud de la jurisdicción</t>
  </si>
  <si>
    <t>Personas de municipios con acceso a los servicios de salud</t>
  </si>
  <si>
    <t>95.00</t>
  </si>
  <si>
    <t>Servicio de atención en salud a la población</t>
  </si>
  <si>
    <t>Estrategias de gestión del riesgo para abordar situaciones de salud relacionadas con condiciones ambientales diseñadas</t>
  </si>
  <si>
    <t>4.00</t>
  </si>
  <si>
    <t>Servicio de identificación y selección de beneficiarios del régimen subsidiado</t>
  </si>
  <si>
    <t>Personas pobres y vulnerables en la Jurisdicción identificada con selección de beneficiarios del Régimen Subsidiado</t>
  </si>
  <si>
    <t>4319.00</t>
  </si>
  <si>
    <t>3292.00</t>
  </si>
  <si>
    <t>6056.00</t>
  </si>
  <si>
    <t>Cifra del MSPS Agosto 2023.</t>
  </si>
  <si>
    <t>Infraestructura hospitalaria de nivel 1 ampliada</t>
  </si>
  <si>
    <t>Infraestructuras hospitalarias de nivel 1 ampliadas</t>
  </si>
  <si>
    <t>0.30</t>
  </si>
  <si>
    <t>30.00</t>
  </si>
  <si>
    <t>Corresponde a seguimiento a convenios.</t>
  </si>
  <si>
    <t>Personas atendidas  con servicio de salud</t>
  </si>
  <si>
    <t>1.50</t>
  </si>
  <si>
    <t>Servicio de divulgación y publicación del Patrimonio cultural</t>
  </si>
  <si>
    <t>Publicaciones Realizadas</t>
  </si>
  <si>
    <t>Servicio de salvaguardia al patrimonio inmaterial</t>
  </si>
  <si>
    <t>Procesos de salvaguardia efectiva del patrimonio inmaterial realizados</t>
  </si>
  <si>
    <t>0.10</t>
  </si>
  <si>
    <t>No hubo avance físico ni financiero</t>
  </si>
  <si>
    <t>Parte de las actividades se adelantó con gestión de la Secretaría de Cultura</t>
  </si>
  <si>
    <t>Servicio dirigidos a la atención de niños, niñas, adolescentes y jóvenes, con enfoque pedagógico y restaurativo encaminados a la inclusión social</t>
  </si>
  <si>
    <t xml:space="preserve">Niños y niñas y adolescentes y jóvenes  atendidos </t>
  </si>
  <si>
    <t>841.00</t>
  </si>
  <si>
    <t>859.00</t>
  </si>
  <si>
    <t>Servicios de promoción de derechos de Niños, Niñas y Adolescentes - NNA</t>
  </si>
  <si>
    <t>Programa de promoción de derechos de Niños, Niñas y Adolescentes realizados</t>
  </si>
  <si>
    <t>1.30</t>
  </si>
  <si>
    <t>Documentos de lineamientos técnicos elaborados política pública de juventud y vejez y envejecimiento formulada, actualización Política Niños, niñas, Infancia y Adolescencia</t>
  </si>
  <si>
    <t>Servicio de acompañamiento familiar y comunitario para la superación de la pobreza</t>
  </si>
  <si>
    <t>Hogares con acompañamiento familiar</t>
  </si>
  <si>
    <t>1009.00</t>
  </si>
  <si>
    <t>1040.00</t>
  </si>
  <si>
    <t>1070.00</t>
  </si>
  <si>
    <t>1100.00</t>
  </si>
  <si>
    <t>Servicio de entrega de raciones de alimentos</t>
  </si>
  <si>
    <t>Personas beneficiadas con raciones de alimentos</t>
  </si>
  <si>
    <t>685.00</t>
  </si>
  <si>
    <t>Se adelantó la meta sin ejecución de recursos, se gestionó la entrega de alimentos</t>
  </si>
  <si>
    <t>2740.00</t>
  </si>
  <si>
    <t>Servicio de gestión de oferta social para la población vulnerable</t>
  </si>
  <si>
    <t>Beneficiarios potenciales para quienes se gestiona la oferta social</t>
  </si>
  <si>
    <t>4500.00</t>
  </si>
  <si>
    <t>6000.00</t>
  </si>
  <si>
    <t>El proceso de contratación fue radicado y revisado por la OJC. A la fecha se está a la espera de las cotizaciones actualizadas para radicar nuevamente el proceso para su publicación.</t>
  </si>
  <si>
    <t>Servicios de divulgación sobre reintegración/reincorporación, convivencia y reconciliación</t>
  </si>
  <si>
    <t>Jornadas de sensibilización realizadas</t>
  </si>
  <si>
    <t>Servicio de divulgación de la oferta institucional</t>
  </si>
  <si>
    <t>Victimas informadas sobre oferta institucional</t>
  </si>
  <si>
    <t>227.00</t>
  </si>
  <si>
    <t xml:space="preserve">Se adelantó sin la ejecución de recursos de inversión </t>
  </si>
  <si>
    <t>380.00</t>
  </si>
  <si>
    <t>La meta se adelanta sin la ejecución de recursos</t>
  </si>
  <si>
    <t>300.00</t>
  </si>
  <si>
    <t>Servicios de implementación de medidas de satisfacción y acompañamiento a las víctimas del conflicto armado</t>
  </si>
  <si>
    <t>Victimas con acompañamiento diferencial en el marco del proceso de reparación integral individual</t>
  </si>
  <si>
    <t>Servicio de ayuda y atención humanitaria</t>
  </si>
  <si>
    <t>Personas con asistencia humanitaria</t>
  </si>
  <si>
    <t>Se atiende por demanda</t>
  </si>
  <si>
    <t>Servicio de asistencia técnica para la participación de las víctimas</t>
  </si>
  <si>
    <t>Personas víctimas con atención humanitaria</t>
  </si>
  <si>
    <t xml:space="preserve">Se atiende por demanda </t>
  </si>
  <si>
    <t>Servicio de asistencia funeraria</t>
  </si>
  <si>
    <t xml:space="preserve">Hogares subsidiados en asistencia funeraria </t>
  </si>
  <si>
    <t>Se entrega por demanda, a la fecha no se cuenta con solicitudes</t>
  </si>
  <si>
    <t>No se presentó demanda del servicio. La meta está sujeta a la solicitud de la comunidad.</t>
  </si>
  <si>
    <t>Mesas de participación en funcionamiento</t>
  </si>
  <si>
    <t>Servicio de atención y protección integral al adulto mayor</t>
  </si>
  <si>
    <t>Adultos mayores que reciben atención y protección integral</t>
  </si>
  <si>
    <t>472.00</t>
  </si>
  <si>
    <t>600.00</t>
  </si>
  <si>
    <t>Servicio de atención integral a población en condición de discapacidad</t>
  </si>
  <si>
    <t>Personas con discapacidad atendidas en servicios integrales</t>
  </si>
  <si>
    <t>574.00</t>
  </si>
  <si>
    <t>899.00</t>
  </si>
  <si>
    <t>Servicio de promoción de la garantía de derechos</t>
  </si>
  <si>
    <t>Fomentar entornos adecuados para la visibilización y reconocimiento de la población LGBTIQ</t>
  </si>
  <si>
    <t>82.00</t>
  </si>
  <si>
    <t>Personas atendidas</t>
  </si>
  <si>
    <t>1630.00</t>
  </si>
  <si>
    <t>1632.00</t>
  </si>
  <si>
    <t>Beneficiarios de la oferta social atendidos (familias)</t>
  </si>
  <si>
    <t>2200.00</t>
  </si>
  <si>
    <t>2500.00</t>
  </si>
  <si>
    <t>1700.00</t>
  </si>
  <si>
    <t>Servicio de asistencia técnica y jurídica en saneamiento y titulación de predios</t>
  </si>
  <si>
    <t>Asistencias técnicas y jurídicas realizadas</t>
  </si>
  <si>
    <t>200.00</t>
  </si>
  <si>
    <t>137.00</t>
  </si>
  <si>
    <t>110.00</t>
  </si>
  <si>
    <t>160.00</t>
  </si>
  <si>
    <t>43 se desistieron por incumplimiento de los requisitos previstos, se hicieron asistencia verbales explicativas a la comunidad que lo requirió.</t>
  </si>
  <si>
    <t>203.00</t>
  </si>
  <si>
    <t>Servicio de apoyo financiero para adquisición de vivienda</t>
  </si>
  <si>
    <t>Hogares beneficiados con adquisición de vivienda </t>
  </si>
  <si>
    <t>146.00</t>
  </si>
  <si>
    <t>173.00</t>
  </si>
  <si>
    <t>Puente peatonal de la red urbana construido</t>
  </si>
  <si>
    <t xml:space="preserve">Contratado y se dará inicio en octubre.
</t>
  </si>
  <si>
    <t>Vía terciaria con mantenimiento periódico o rutinario</t>
  </si>
  <si>
    <t xml:space="preserve">Vía terciaria con mantenimiento rutinario </t>
  </si>
  <si>
    <t>Se ejecutó con recursos del primer semestre a cargo de las metas del PDT anterior 2016 - 2019</t>
  </si>
  <si>
    <t>27.00</t>
  </si>
  <si>
    <t>Vía terciaria construida</t>
  </si>
  <si>
    <t xml:space="preserve">Vía terciaria construida </t>
  </si>
  <si>
    <t>Vía urbana con mantenimiento periódico o rutinario</t>
  </si>
  <si>
    <t>Vía urbana con mantenimiento periódico</t>
  </si>
  <si>
    <t>4.50</t>
  </si>
  <si>
    <t>2.50</t>
  </si>
  <si>
    <t>Puente peatonal con mantenimiento</t>
  </si>
  <si>
    <t>Ciclo infraestructura construida en red vial terciaria</t>
  </si>
  <si>
    <t>Ciclo infraestructura de la red vial terciaria construida</t>
  </si>
  <si>
    <t>1.03</t>
  </si>
  <si>
    <t xml:space="preserve">Se ejecutaron en total 1030 m(560 la fuente, 260 calle 12, 220 col-papel).
</t>
  </si>
  <si>
    <t>Documentos de lineamientos técnicos realizados (inventario vial consolidado)</t>
  </si>
  <si>
    <t>Documentos de planeación realizados (Proyectos de Infraestructura Vial)</t>
  </si>
  <si>
    <t>Acueductos ampliados</t>
  </si>
  <si>
    <t>Plantas de tratamiento de agua potable ampliadas</t>
  </si>
  <si>
    <t>0.80</t>
  </si>
  <si>
    <t>Acueductos optimizados</t>
  </si>
  <si>
    <t>Plantas de tratamiento de agua potable optimizadas</t>
  </si>
  <si>
    <t>Se ejecutó con recursos de la Empresa de Servicios Públicos</t>
  </si>
  <si>
    <t>Documentos de planeación en políticas de Agua Potable y Saneamiento Básico elaborados (Plan Maestro de Acueducto y Alcantarillado, Plan de Saneamiento y Manejo de Vertimientos PSMV, Catastro de Redes, Plan de Ahorro y uso eficiente del Agua PUEAA) elaborados</t>
  </si>
  <si>
    <t>La meta se adelantó con recursos de la Empresa de Servicios Públicos</t>
  </si>
  <si>
    <t>Red de distribución ampliada</t>
  </si>
  <si>
    <t>700.00</t>
  </si>
  <si>
    <t>2000.00</t>
  </si>
  <si>
    <t>Documentos de planeación en Ordenamiento Territorial implementados (Plan de Ordenamiento Territorial, Expediente Municipal)</t>
  </si>
  <si>
    <t>0.60</t>
  </si>
  <si>
    <t>1.10</t>
  </si>
  <si>
    <t>Servicios de gestión para la elaboración de instrumentos para el desarrollo urbano y territorial</t>
  </si>
  <si>
    <t>Instrumentos normativos formulados, revisados y ajustados y/o implementados (plusvalía, valorización y cesiones públicas)</t>
  </si>
  <si>
    <t>Espacio publico recuperado</t>
  </si>
  <si>
    <t>10089.00</t>
  </si>
  <si>
    <t>La meta del cuatrienio se superó en el año inmediatamente anterior dadas circunstancias especiales</t>
  </si>
  <si>
    <t>1900.00</t>
  </si>
  <si>
    <t>10031.52</t>
  </si>
  <si>
    <t>Documentos de estudios técnicos para el ordenamiento ambiental territorial</t>
  </si>
  <si>
    <t>Documentos de estudios técnicos para el conocimiento y reducción del riesgo de desastres elaborados</t>
  </si>
  <si>
    <t>Servicio de conservación catastral</t>
  </si>
  <si>
    <t>Mutaciones catastrales realizadas (Proyección 50 por año, promedio móvil)</t>
  </si>
  <si>
    <t>Servicio de avalúos</t>
  </si>
  <si>
    <t>Numero de avalúos (Proyección 100 anuales, promedio móvil)</t>
  </si>
  <si>
    <t>18.00</t>
  </si>
  <si>
    <t>Servicio de información implementado</t>
  </si>
  <si>
    <t>Sistemas de información implementado (Estratificación, SISBEN, Banco de Programas y Proyectos, Sistema de Licenciamiento)</t>
  </si>
  <si>
    <t>Servicio de levantamientos topográficos</t>
  </si>
  <si>
    <t>Levantamientos topográficos  realizados (Proyección 50 por año, promedio móvil)</t>
  </si>
  <si>
    <t>39.00</t>
  </si>
  <si>
    <t>Cumplimiento a través del contrato 486 de 2021, el cual quedó como reserva.  La ejecución financiera se comprometió en 2021.</t>
  </si>
  <si>
    <t>Servicio de información geográfica, geodésica y cartográfica</t>
  </si>
  <si>
    <t xml:space="preserve">Datos publicados de información geográfica, geodésica y cartográfica </t>
  </si>
  <si>
    <t>0.01</t>
  </si>
  <si>
    <t>0.23</t>
  </si>
  <si>
    <t>Zonas verdes adecuadas y mantenidas</t>
  </si>
  <si>
    <t>Sedes mantenidas (18 salones comunales, 17 edificios institucionales)</t>
  </si>
  <si>
    <t>Sedes mantenidas</t>
  </si>
  <si>
    <t>Sedes mantenidas (Incluye mantenimiento preventivo y correctivo de edificios y zonas comunes del Municipio)</t>
  </si>
  <si>
    <t>Servicio de mantenimiento a la infraestructura deportiva</t>
  </si>
  <si>
    <t>Infraestructura deportiva mantenida (12 parques biosaludables, 31 parques infantiles, 21 zonas deportivas)</t>
  </si>
  <si>
    <t>Parques recreativos construidos</t>
  </si>
  <si>
    <t>Estudios, diseños y proyectos de infraestructura recreo-deportiva</t>
  </si>
  <si>
    <t>Estudios, diseños  y proyectos elaborados para infraestructura recreo-deportiva</t>
  </si>
  <si>
    <t>Infraestructura educativa mantenida</t>
  </si>
  <si>
    <t>El mantenimiento se adelanta en su mayoría con el personal operativo de la Secretaría de Infraestructura</t>
  </si>
  <si>
    <t>Infraestructura educativa construida</t>
  </si>
  <si>
    <t xml:space="preserve">Sedes educativas nuevas construidas </t>
  </si>
  <si>
    <t>Edificaciones de atención a la primera infancia adecuadas</t>
  </si>
  <si>
    <t>Hospitales de primer nivel de atención adecuados</t>
  </si>
  <si>
    <t>Se adecuo con recursos del primer semestre 2020</t>
  </si>
  <si>
    <t xml:space="preserve">Se llevará a cabo la adecuación del hospital en noviembre, aunque ya se llevo a cabo la adecuación y puesta en servicio del hospital.
</t>
  </si>
  <si>
    <t>Centros de atención integral para personas con discapacidad construidos y dotados</t>
  </si>
  <si>
    <t>Servicio de mantenimiento de infraestructura cultural</t>
  </si>
  <si>
    <t>Infraestructura cultural intervenida (4 bibliotecas, Casa de la Cultura y Ciudadela Cultural)</t>
  </si>
  <si>
    <t>Centro culturales construidos y dotados</t>
  </si>
  <si>
    <t>Centros culturales construidos y dotados (Auditorio Regional)</t>
  </si>
  <si>
    <t>0.16</t>
  </si>
  <si>
    <t>0.52</t>
  </si>
  <si>
    <t>Redes de alumbrado público ampliadas y mantenidas</t>
  </si>
  <si>
    <t xml:space="preserve">Modernización Luminarias </t>
  </si>
  <si>
    <t>610.00</t>
  </si>
  <si>
    <t>4261.00</t>
  </si>
  <si>
    <t xml:space="preserve">Se llevó a cabo con la empresa de economía mixta.
</t>
  </si>
  <si>
    <t>Sedes construidas</t>
  </si>
  <si>
    <t>Sedes construidas (Incluye:  Edificios públicos por terminar y sede Empresa de Servicios Púbicos, 2 laboratorios)</t>
  </si>
  <si>
    <t>0.26</t>
  </si>
  <si>
    <t>2 salones comunales,CAI, CRIR.</t>
  </si>
  <si>
    <t>Alcantarillados construidos</t>
  </si>
  <si>
    <t>Plantas de tratamiento de aguas residuales  construidas</t>
  </si>
  <si>
    <t xml:space="preserve">No se adelanto gestión para esta meta ya que no existen recursos financieros para sustentar las metas.
</t>
  </si>
  <si>
    <t>Alcantarillados optimizados</t>
  </si>
  <si>
    <t>Plantas de tratamiento de aguas residuales optimizadas</t>
  </si>
  <si>
    <t>Se adelantó con recursos de la Empresa de Servicios Públicos</t>
  </si>
  <si>
    <t xml:space="preserve">La PTAR Verganzo actualmente se encuentra en optimización a través de recursos de empresas privadas y esta próxima a empezar su funcionamiento. 
</t>
  </si>
  <si>
    <t>Alcantarillados ampliados</t>
  </si>
  <si>
    <t>Red de alcantarillado ampliada</t>
  </si>
  <si>
    <t>1423.00</t>
  </si>
  <si>
    <t>1600.00</t>
  </si>
  <si>
    <t>1296.00</t>
  </si>
  <si>
    <t>Por ley de garantías se ejecutó en 2022 con recursos asignados en 2021, convenio 008 de 2021</t>
  </si>
  <si>
    <t>Servicios de implementación del Plan de Gestión Integral de Residuos Solidos PGIRS</t>
  </si>
  <si>
    <t>Plan de Gestión Integral de Residuos Solidos implementado</t>
  </si>
  <si>
    <t>0.33</t>
  </si>
  <si>
    <t>Convenio 005 de 2021 en ejecución, a corte 30 de septiembre de 2023 se entregaron 8623 kit y se dispusieron 424.5 toneladas de residuos orgánicos.</t>
  </si>
  <si>
    <t>Servicio de regulación en Agua Potable y Saneamiento Básico</t>
  </si>
  <si>
    <t>Estudios Realizados.  Actualización de catastro de usuarios</t>
  </si>
  <si>
    <t>Se realizó con recursos de la Empresa de Servicios Públicos</t>
  </si>
  <si>
    <t>Servicio de Aseo</t>
  </si>
  <si>
    <t>Vehículos de recolección de residuos sólidos adquiridos</t>
  </si>
  <si>
    <t>0.90</t>
  </si>
  <si>
    <t>Avancemos en Desarrollo Económico e Institucional</t>
  </si>
  <si>
    <t>Servicio de asistencia técnica a las entidades en materia de defensa jurídica, gerencia jurídica publica, solución amistosa de conflictos y /o prevención del daño antijurídico</t>
  </si>
  <si>
    <t>Documentos normativos</t>
  </si>
  <si>
    <t>Asistencia en materia de defensa jurídica, gerencia jurídica pública, solución amistosa de conflictos y/o prevención del daño antijurídico</t>
  </si>
  <si>
    <t>Servicio de asistencia técnica para la implementación de la política de trámites</t>
  </si>
  <si>
    <t>Trámites racionalizados</t>
  </si>
  <si>
    <t>La meta se ha adelantado sin la ejecución de recursos de  inversión</t>
  </si>
  <si>
    <t>Se actualizaron 9 trámites.
Se realiza seguimiento al semáforo de los trámites pendientes de actualización en la plataforma, Se priorizaron  2 trámites para racionalizar.</t>
  </si>
  <si>
    <t>Documento de medición del servicio de atención a usuarios</t>
  </si>
  <si>
    <t>Se da inicio a la implementación del sistema de gestión documental, específicamente en el proceso de radicación de correspondencia.</t>
  </si>
  <si>
    <t>Servicio de atención al usuario</t>
  </si>
  <si>
    <t>Usuarios Atendidos en plataformas digitales y/o presencialmente</t>
  </si>
  <si>
    <t>8500.00</t>
  </si>
  <si>
    <t>Se atendió sin la ejecución de recursos de inversión</t>
  </si>
  <si>
    <t>Meta que se cumple con la gestión de los funcionarios de la Secretaría Administrativa</t>
  </si>
  <si>
    <t>Servicios de Información para la implementación de la Estrategia de Gobierno digital</t>
  </si>
  <si>
    <t>Herramientas tecnológicas de Gobierno digital  implemetadas</t>
  </si>
  <si>
    <t>Contenidos digitales</t>
  </si>
  <si>
    <t>Contenidos digitales publicados</t>
  </si>
  <si>
    <t>Servicio de almacenamiento local de información</t>
  </si>
  <si>
    <t>Bytes en capacidad de almacenamiento (se expresa en terabytes)</t>
  </si>
  <si>
    <t>32.00</t>
  </si>
  <si>
    <t>Servicio de promoción de la participación ciudadana para el fomento del diálogo con el Estado</t>
  </si>
  <si>
    <t>Ejercicios de participación ciudadana realizados</t>
  </si>
  <si>
    <t>Servicio de gestión documental</t>
  </si>
  <si>
    <t>Sistema de gestión documental implementado</t>
  </si>
  <si>
    <t>Servicio de Implementación Sistemas de Gestión</t>
  </si>
  <si>
    <t>Sistema de Gestión implementado</t>
  </si>
  <si>
    <t>Se adelanta la revisión en todas las dependencias de la Alcaldía a efectos de hacer evaluación y actualización de los módulos que hacen parte del Sistema Integrado de Gestión y Desarrollo Instituciona</t>
  </si>
  <si>
    <t>Servicios tecnológicos</t>
  </si>
  <si>
    <t>Índice de capacidad en la prestación de servicios de tecnología</t>
  </si>
  <si>
    <t>Documentos de lineamientos técnicos realizados y ejecutados (Plan de Bienestar y Plan de Capacitación)</t>
  </si>
  <si>
    <t>Servicio de asistencia técnica en la implementación del Modelo Integrado de Planeación y Gestión</t>
  </si>
  <si>
    <t>Modelo integrado de planeación y de gestión Implementado</t>
  </si>
  <si>
    <t>Informe de campañas de cultura tributaria realizadas</t>
  </si>
  <si>
    <t>Campaña de cultura tributaria ejecutada</t>
  </si>
  <si>
    <t>Implementar estrategias para el fortalecimiento de la gestión financiera y contable</t>
  </si>
  <si>
    <t xml:space="preserve"> Estrategias realizadas</t>
  </si>
  <si>
    <t>Sistemas de información implementados (Corresponde al proceso que asegura la disposición de la información de manera oportuna</t>
  </si>
  <si>
    <t>Documentos normativos elaborados (Estatuto Tributario Actualizado y contribuciones)</t>
  </si>
  <si>
    <t>Se adelantó con gestión sin la inversión de recursos financieros</t>
  </si>
  <si>
    <t>Documentos metodológicos (Levantamiento censo empresarial ICA)</t>
  </si>
  <si>
    <t>Estrategias realizadas (Censo, Ingresos tributarios y no tributarios</t>
  </si>
  <si>
    <t>Se da cumplimiento sin ejecución de recursos.</t>
  </si>
  <si>
    <t>Servicio de control tributario,  análisis de la evasión fiscal y recuperación de cartera</t>
  </si>
  <si>
    <t xml:space="preserve">Estrategias realizadas  </t>
  </si>
  <si>
    <t>Servicio de fortalecimiento y desarrollo de unidades productivas para la comercialización de productos</t>
  </si>
  <si>
    <t>Unidades productivas fortalecidas</t>
  </si>
  <si>
    <t>270.00</t>
  </si>
  <si>
    <t>35.00</t>
  </si>
  <si>
    <t>Servicio de educación informal en asuntos turísticos</t>
  </si>
  <si>
    <t>Capacitaciones realizadas</t>
  </si>
  <si>
    <t>Señalización turística construida</t>
  </si>
  <si>
    <t>Señalización realizada</t>
  </si>
  <si>
    <t>0.06</t>
  </si>
  <si>
    <t>24.00</t>
  </si>
  <si>
    <t>0.84</t>
  </si>
  <si>
    <t>Servicio de circuito turístico</t>
  </si>
  <si>
    <t>Recorridos realizados</t>
  </si>
  <si>
    <t>Servicio de promoción turística</t>
  </si>
  <si>
    <t>Campañas realizadas</t>
  </si>
  <si>
    <t>Eventos de promoción realizados</t>
  </si>
  <si>
    <t>Servicio de asesoría técnica para el emprendimiento</t>
  </si>
  <si>
    <t>Emprendimientos fortalecidos</t>
  </si>
  <si>
    <t>134.00</t>
  </si>
  <si>
    <t>145.00</t>
  </si>
  <si>
    <t>Servicios de apoyo financiero para la creación y fortalecimiento de emprendimientos, empresas y negocios</t>
  </si>
  <si>
    <t>Planes de negocios financiados (Banco de Oportunidades)</t>
  </si>
  <si>
    <t>182.00</t>
  </si>
  <si>
    <t>199.00</t>
  </si>
  <si>
    <t>585.00</t>
  </si>
  <si>
    <t>133.00</t>
  </si>
  <si>
    <t>Servicio de colocación laboral</t>
  </si>
  <si>
    <t>Personas colocadas laboralmente</t>
  </si>
  <si>
    <t>1400.00</t>
  </si>
  <si>
    <t>1363.00</t>
  </si>
  <si>
    <t>1550.00</t>
  </si>
  <si>
    <t>1950.00</t>
  </si>
  <si>
    <t>1396.00</t>
  </si>
  <si>
    <t>Servicio de orientación laboral</t>
  </si>
  <si>
    <t>Personas orientadas laboralmente</t>
  </si>
  <si>
    <t xml:space="preserve">Se ejecutó sin la inversión de recursos </t>
  </si>
  <si>
    <t>2845.00</t>
  </si>
  <si>
    <t>1155.00</t>
  </si>
  <si>
    <t>Servicio de apoyo al fortalecimiento de políticas públicas para la generación y formalización del empleo en el marco del trabajo decente</t>
  </si>
  <si>
    <t>Estrategias realizadas</t>
  </si>
  <si>
    <t>Servicios de gestión para generación y formalización del empleo</t>
  </si>
  <si>
    <t>Eventos realizados</t>
  </si>
  <si>
    <t>191.00</t>
  </si>
  <si>
    <t>Servicios para fortalecer la participación ciudadana en Ciencia, Tecnología e Innovación</t>
  </si>
  <si>
    <t>Estrategias de fomento de la participación ciudadana en ciencia, tecnología e innovación implementadas</t>
  </si>
  <si>
    <t>Documentos de planeación elaborados (Plan de extensión agropecuaria)</t>
  </si>
  <si>
    <t>Servicio de acompañamiento productivo y empresarial</t>
  </si>
  <si>
    <t>Unidades productivas beneficiadas</t>
  </si>
  <si>
    <t>620.00</t>
  </si>
  <si>
    <t>650.00</t>
  </si>
  <si>
    <t>680.00</t>
  </si>
  <si>
    <t>732.00</t>
  </si>
  <si>
    <t>Avancemos en Medio Ambiente Sostenible</t>
  </si>
  <si>
    <t>Servicios de apoyo financiero para proyectos de restauración de ecosistemas degradados en áreas protegidas y Áreas de Especial Importancia Ambiental (AEIA)</t>
  </si>
  <si>
    <t>Esquemas de pago por servicios ambientales implementado</t>
  </si>
  <si>
    <t>Servicio de recuperación de cuerpos de agua lénticos y lóticos</t>
  </si>
  <si>
    <t xml:space="preserve">Extensión de cuerpos de agua recuperados </t>
  </si>
  <si>
    <t>Documentos de lineamientos técnicos para el fortalecimiento del desempeño ambiental de los sectores productivos</t>
  </si>
  <si>
    <t>Programas de gestión ambiental sectorial diseñados</t>
  </si>
  <si>
    <t xml:space="preserve">se adelanto consolidación  del documento de lineamiento para el fortalecimiento de los sectores productivos.
</t>
  </si>
  <si>
    <t>Servicio de vigilancia de la calidad del aire</t>
  </si>
  <si>
    <t>Inventario de fuentes fijas o móviles realizados</t>
  </si>
  <si>
    <t>0.35</t>
  </si>
  <si>
    <t>Servicio de protección de ecosistemas</t>
  </si>
  <si>
    <t>Áreas de ecosistemas protegidos</t>
  </si>
  <si>
    <t>Servicio de producción de plántulas en viveros</t>
  </si>
  <si>
    <t>Plántulas producidas</t>
  </si>
  <si>
    <t>2731.00</t>
  </si>
  <si>
    <t>5269.00</t>
  </si>
  <si>
    <t>Servicio de caracterización de la calidad del agua</t>
  </si>
  <si>
    <t>Parámetros físico químicos en vertimientos analizados</t>
  </si>
  <si>
    <t>Se avanzó en el cumplimiento por gestión con entidades privadas y públicas</t>
  </si>
  <si>
    <t>se realizaron en diferentes puntos de caracterización de vertimientos a corte de 30 de septiembre.</t>
  </si>
  <si>
    <t>Servicio de seguimiento y control a usuarios del recurso hídrico</t>
  </si>
  <si>
    <t>Visitas de seguimiento y control realizados</t>
  </si>
  <si>
    <t>34.00</t>
  </si>
  <si>
    <t>Servicio de seguimiento a los procesos de ordenación y manejo de cuencas hidrográficas</t>
  </si>
  <si>
    <t>Reportes de avance de la formulación e implementación de los procesos de ordenación y manejo de cuencas</t>
  </si>
  <si>
    <t>De conformidad con la programación realizada en esta vigencia se habia acordado el ajuste para reprogramar la meta a un total de 3 reportes, de los cuales ya se realizaron 2 con corte a 30 de septiemb</t>
  </si>
  <si>
    <t>Servicio de asistencia técnica para la implementación de lineamientos sobre el mejoramiento dela calidad del recurso hídrico</t>
  </si>
  <si>
    <t>Proyecto para el mejoramiento de la calidad del recurso hídrico formulado</t>
  </si>
  <si>
    <t>Documentos de lineamientos técnicos para la gestión de la información y el conocimiento ambiental</t>
  </si>
  <si>
    <t>Documentos de lineamientos técnicos  para la evaluación de los recursos naturales elaborados</t>
  </si>
  <si>
    <t>Servicio de apoyo técnico para la implementación de acciones de mitigación y adaptación al cambio climático</t>
  </si>
  <si>
    <t>Pilotos con acciones de mitigación y adaptación al cambio climático desarrollados</t>
  </si>
  <si>
    <t>en el presente trimestre se muestra un avance de la implementación de 1 piloto de acciones de adaptación y mitigación al cambio climático.</t>
  </si>
  <si>
    <t>Servicio de educación informal en gestión del cambio climático para un desarrollo bajo en carbono y resiliente al clima</t>
  </si>
  <si>
    <t>Personas capacitadas en gestión del cambio climático</t>
  </si>
  <si>
    <t>150.00</t>
  </si>
  <si>
    <t>319.00</t>
  </si>
  <si>
    <t>231.00</t>
  </si>
  <si>
    <t>Servicio de asistencia técnica para la implementación de las estrategias educativo ambientales y de participación</t>
  </si>
  <si>
    <t xml:space="preserve">Estrategias educativo ambientales y de participación implementadas </t>
  </si>
  <si>
    <t>Servicio de divulgación de la información de la política nacional de educación ambiental y participación</t>
  </si>
  <si>
    <t>Campañas de educación ambiental y participación implementadas</t>
  </si>
  <si>
    <t>Servicio de seguimiento y evaluación de los programas de recolección de residuos posconsumo</t>
  </si>
  <si>
    <t>Programas de recolección de residuos pos consumo con seguimiento</t>
  </si>
  <si>
    <t>0.59</t>
  </si>
  <si>
    <t>Producto</t>
  </si>
  <si>
    <t>Indicador Producto</t>
  </si>
  <si>
    <t>Meta Cuatrienio</t>
  </si>
  <si>
    <t>Programado 2020</t>
  </si>
  <si>
    <t>Ejecutado 2020</t>
  </si>
  <si>
    <t>% Avance 2020</t>
  </si>
  <si>
    <t>Rango 2020</t>
  </si>
  <si>
    <t>Observacion 2020</t>
  </si>
  <si>
    <t>Programado 2021</t>
  </si>
  <si>
    <t>Ejecutado 2021</t>
  </si>
  <si>
    <t>% Avance 2021</t>
  </si>
  <si>
    <t>Rango 2021</t>
  </si>
  <si>
    <t>Observacion 2021</t>
  </si>
  <si>
    <t>Programado 2022</t>
  </si>
  <si>
    <t>Ejecutado 2022</t>
  </si>
  <si>
    <t>% Avance 2022</t>
  </si>
  <si>
    <t>Rango 2022</t>
  </si>
  <si>
    <t>Observacion 2022</t>
  </si>
  <si>
    <t>Programado 2023</t>
  </si>
  <si>
    <t>Ejecutado 2023</t>
  </si>
  <si>
    <t>% Avance 2023</t>
  </si>
  <si>
    <t>Rango 2023</t>
  </si>
  <si>
    <t>Observacion 2023</t>
  </si>
  <si>
    <t xml:space="preserve">Comisarías de familia ampliada </t>
  </si>
  <si>
    <t>Se suscribió el CTO 528 MT 2023 en el mes de septiembre para el cumplimiento de la meta</t>
  </si>
  <si>
    <t>Se encuentra en asignación de recursos</t>
  </si>
  <si>
    <t xml:space="preserve">  </t>
  </si>
  <si>
    <t>La meta propuesta inicialmente se sobrepasó, debido a algunas renuncias de subsidios asignados en vigencias pasadas, las cuales se asignaron a otros usuarios en la presente vigencia</t>
  </si>
  <si>
    <t>En este proyecto no se ha llegado a 1 documento, teniendo en cuenta el proceso de concertación del PBOT que se lleva con la Corporación Autonoma Regional</t>
  </si>
  <si>
    <t>Se estan ejecutando Estudios de Consultoria y  la interventoria de la consultoria mediante  los Contratos 478 y 509 de 2023 respectivamente</t>
  </si>
  <si>
    <t>El proyecto no se ejecutara debido que fue necesario destinar los recursos para adicionar el contrato No. 054 de 2023 cuyo objeto corresponde al suministro de insumos químicos para potabilización</t>
  </si>
  <si>
    <t>Mediante contrato 111 de 2022 "Suministro de vehiculo compactador de residuos sólidos con capacidad de 25 yardas cúbicas para ser instalada en el chasis de placas TSM410, para optimizar la prestación</t>
  </si>
  <si>
    <t xml:space="preserve">60% de avance físico. El producto está en ejecución y una vez documentado las actividades al final de la vigencia se actualizará el avance conforme a cada una de las políticas públicas </t>
  </si>
  <si>
    <t xml:space="preserve">Se esta alimentando la base de datos estadísticos para la realización del informe del tercer trimestre 2023- evaluación del servicio de atencion al ciudadadano y esta en ejecución la orden de compra </t>
  </si>
  <si>
    <t>De acuerdo con las actividades halladas dentro de la primera fase, se esta adelantando proceso continuar con la implementación de los protocolos de seguridad informatica, en ejecución</t>
  </si>
  <si>
    <t>Se atiende la demanda presentada</t>
  </si>
  <si>
    <t xml:space="preserve">Satisfactorio </t>
  </si>
  <si>
    <t>Inventario adelantado sin ejecución recursos</t>
  </si>
  <si>
    <t>No se ejecutará la meta</t>
  </si>
  <si>
    <t>Se estima el cumplimiento de la meta al final de la vigencia.</t>
  </si>
  <si>
    <t>No.</t>
  </si>
  <si>
    <t>Línea Estratégica</t>
  </si>
  <si>
    <t>Dependencia</t>
  </si>
  <si>
    <t>$Ejecución presupuestal</t>
  </si>
  <si>
    <t>% Ejecución Presupuestal</t>
  </si>
  <si>
    <t>$ Ejecución presupuestal</t>
  </si>
  <si>
    <t>$ Ejecuciòn presupuestal</t>
  </si>
  <si>
    <t>Avancemos en Seguridad con Inversión Social en Salud, Educación, Cultura y Deportes</t>
  </si>
  <si>
    <t>Gobierno</t>
  </si>
  <si>
    <t xml:space="preserve">Social </t>
  </si>
  <si>
    <t>Salud</t>
  </si>
  <si>
    <t>Deportes</t>
  </si>
  <si>
    <t xml:space="preserve"> Avancemos en Desarrollo Territorial</t>
  </si>
  <si>
    <t>Planeación</t>
  </si>
  <si>
    <t>Infraestructura</t>
  </si>
  <si>
    <t>Servicios Públicos</t>
  </si>
  <si>
    <t>Ambiente</t>
  </si>
  <si>
    <t>Económico</t>
  </si>
  <si>
    <t>Administrativa</t>
  </si>
  <si>
    <t>Hacienda</t>
  </si>
  <si>
    <t>Jurídica</t>
  </si>
  <si>
    <t>Comunicaciones</t>
  </si>
  <si>
    <t>Apropiación</t>
  </si>
  <si>
    <t>Avance Financiero 2023*</t>
  </si>
  <si>
    <t>Avance 2020</t>
  </si>
  <si>
    <t>Avance 2021</t>
  </si>
  <si>
    <t>Avance  2022</t>
  </si>
  <si>
    <t>* Corte 31 de octubre de 2023</t>
  </si>
  <si>
    <t>$197.733.296,054,30</t>
  </si>
  <si>
    <t>EJECUCIÓN PLAN DE DESARROLLO CUATRIENIO (Corte 31 de Octubre de 2023)</t>
  </si>
  <si>
    <t>Avance Consolidado 2020 - 2023*</t>
  </si>
  <si>
    <t>% Avance Físico</t>
  </si>
  <si>
    <t xml:space="preserve">Avance Físico </t>
  </si>
  <si>
    <t>2023*</t>
  </si>
  <si>
    <t xml:space="preserve">% Avance  Acumulado 2020 - 2023* </t>
  </si>
  <si>
    <t>* Corte a 31 de octubre de de 2023</t>
  </si>
  <si>
    <t>Consolidado %</t>
  </si>
  <si>
    <t>Consolidado 2020 - 2023</t>
  </si>
  <si>
    <t>Consolidado 2020 - 2023*</t>
  </si>
  <si>
    <t>Consolidado 2020 2023*</t>
  </si>
  <si>
    <t xml:space="preserve">100
</t>
  </si>
  <si>
    <t xml:space="preserve">65
</t>
  </si>
  <si>
    <t>90</t>
  </si>
  <si>
    <t>Alertas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</si>
</sst>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164" formatCode="0.00;[Red]0.00"/>
    <numFmt numFmtId="165" formatCode="&quot;$&quot;\ #,##0.00;[Red]&quot;$&quot;\ #,##0.00"/>
    <numFmt numFmtId="166" formatCode="&quot;$&quot;\ #,##0.000;[Red]&quot;$&quot;\ #,##0.000"/>
    <numFmt numFmtId="167" formatCode="#,##0.00#"/>
    <numFmt numFmtId="168" formatCode="#,##0.00;[Red]#,##0.00"/>
    <numFmt numFmtId="169" formatCode="0;[Red]0"/>
  </numFmts>
  <fonts count="5">
    <font>
      <sz val="11"/>
      <color rgb="FF000000"/>
      <name val="Calibri"/>
      <family val="2"/>
    </font>
    <font>
      <b/>
      <sz val="11"/>
      <color rgb="FF000000"/>
      <name val="Calibri"/>
      <family val="2"/>
    </font>
    <font>
      <sz val="11"/>
      <color indexed="8"/>
      <name val="Calibri"/>
      <family val="2"/>
    </font>
    <font>
      <sz val="10"/>
      <color indexed="8"/>
      <name val="SansSerif"/>
    </font>
    <font>
      <sz val="8"/>
      <name val="Calibri"/>
      <family val="2"/>
    </font>
  </fonts>
  <fills count="8">
    <fill>
      <patternFill patternType="none"/>
    </fill>
    <fill>
      <patternFill patternType="gray125"/>
    </fill>
    <fill>
      <patternFill patternType="solid">
        <fgColor theme="3"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C0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
    <xf numFmtId="0" fontId="0" fillId="0" borderId="0" applyBorder="0"/>
  </cellStyleXfs>
  <cellXfs count="98">
    <xf numFmtId="0" fontId="0" fillId="0" borderId="0" xfId="0" applyNumberFormat="1" applyFill="1" applyAlignment="1" applyProtection="1"/>
    <xf numFmtId="0" fontId="0" fillId="0" borderId="0" xfId="0" applyNumberFormat="1" applyFill="1" applyAlignment="1" applyProtection="1">
      <alignment wrapText="1"/>
    </xf>
    <xf numFmtId="0" fontId="0" fillId="0" borderId="0" xfId="0" applyNumberFormat="1" applyFill="1" applyAlignment="1" applyProtection="1">
      <alignment vertical="center" wrapText="1"/>
    </xf>
    <xf numFmtId="0" fontId="0" fillId="0" borderId="0" xfId="0" applyNumberFormat="1" applyFill="1" applyAlignment="1" applyProtection="1">
      <alignment horizontal="center" vertical="center" wrapText="1"/>
    </xf>
    <xf numFmtId="0" fontId="0" fillId="0" borderId="0" xfId="0" applyNumberFormat="1" applyFill="1" applyAlignment="1" applyProtection="1">
      <alignment horizontal="left" vertical="center" wrapText="1"/>
    </xf>
    <xf numFmtId="0" fontId="0" fillId="0" borderId="0" xfId="0" applyNumberFormat="1" applyFill="1" applyAlignment="1" applyProtection="1">
      <alignment horizontal="center" wrapText="1"/>
    </xf>
    <xf numFmtId="0" fontId="0" fillId="0" borderId="0" xfId="0"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164" fontId="0" fillId="0" borderId="0" xfId="0" applyNumberFormat="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7" fontId="0" fillId="0" borderId="1" xfId="0" applyNumberFormat="1" applyBorder="1" applyAlignment="1">
      <alignment horizontal="right" vertical="center" wrapText="1"/>
    </xf>
    <xf numFmtId="0" fontId="0" fillId="0" borderId="2" xfId="0" applyBorder="1" applyAlignment="1">
      <alignment horizontal="center" vertical="center" wrapText="1"/>
    </xf>
    <xf numFmtId="165" fontId="0" fillId="0" borderId="1" xfId="0" applyNumberFormat="1" applyBorder="1" applyAlignment="1">
      <alignment vertical="center" wrapText="1"/>
    </xf>
    <xf numFmtId="0" fontId="0" fillId="0" borderId="3" xfId="0" applyBorder="1" applyAlignment="1">
      <alignment vertical="center" wrapText="1"/>
    </xf>
    <xf numFmtId="165" fontId="1" fillId="0" borderId="1" xfId="0" applyNumberFormat="1" applyFont="1" applyBorder="1" applyAlignment="1">
      <alignment horizontal="right" vertical="center" wrapText="1"/>
    </xf>
    <xf numFmtId="164" fontId="0" fillId="0" borderId="3" xfId="0" applyNumberFormat="1" applyBorder="1" applyAlignment="1">
      <alignment vertical="center" wrapText="1"/>
    </xf>
    <xf numFmtId="165" fontId="2" fillId="0" borderId="1" xfId="0" applyNumberFormat="1" applyFont="1" applyBorder="1" applyAlignment="1">
      <alignment horizontal="right" vertical="center" wrapText="1"/>
    </xf>
    <xf numFmtId="0" fontId="0" fillId="0" borderId="1" xfId="0" applyBorder="1" applyAlignment="1">
      <alignment horizontal="left" vertical="center" wrapText="1"/>
    </xf>
    <xf numFmtId="7" fontId="0" fillId="0" borderId="1" xfId="0" applyNumberFormat="1" applyBorder="1" applyAlignment="1">
      <alignment vertical="center" wrapText="1"/>
    </xf>
    <xf numFmtId="0" fontId="0" fillId="0" borderId="4" xfId="0" applyBorder="1" applyAlignment="1">
      <alignment vertical="center" wrapText="1"/>
    </xf>
    <xf numFmtId="7" fontId="0" fillId="0" borderId="4" xfId="0" applyNumberFormat="1" applyBorder="1" applyAlignment="1">
      <alignment vertical="center" wrapText="1"/>
    </xf>
    <xf numFmtId="0" fontId="0" fillId="0" borderId="8" xfId="0" applyBorder="1" applyAlignment="1">
      <alignment horizontal="center" vertical="center" wrapText="1"/>
    </xf>
    <xf numFmtId="0" fontId="0" fillId="0" borderId="9" xfId="0" applyBorder="1" applyAlignment="1">
      <alignment vertical="center" wrapText="1"/>
    </xf>
    <xf numFmtId="165" fontId="0" fillId="0" borderId="9" xfId="0" applyNumberFormat="1" applyBorder="1" applyAlignment="1">
      <alignment vertical="center" wrapText="1"/>
    </xf>
    <xf numFmtId="0" fontId="0" fillId="0" borderId="10" xfId="0" applyBorder="1" applyAlignment="1">
      <alignment vertical="center" wrapText="1"/>
    </xf>
    <xf numFmtId="164" fontId="0" fillId="0" borderId="10" xfId="0" applyNumberFormat="1" applyBorder="1" applyAlignment="1">
      <alignment vertical="center" wrapText="1"/>
    </xf>
    <xf numFmtId="0" fontId="0" fillId="0" borderId="11" xfId="0" applyBorder="1" applyAlignment="1">
      <alignment horizontal="center" vertical="center" wrapText="1"/>
    </xf>
    <xf numFmtId="165" fontId="0" fillId="0" borderId="12" xfId="0" applyNumberFormat="1" applyBorder="1" applyAlignment="1">
      <alignment vertical="center" wrapText="1"/>
    </xf>
    <xf numFmtId="166" fontId="0" fillId="0" borderId="12" xfId="0" applyNumberFormat="1" applyBorder="1" applyAlignment="1">
      <alignment vertical="center" wrapText="1"/>
    </xf>
    <xf numFmtId="165" fontId="0" fillId="0" borderId="13" xfId="0" applyNumberFormat="1" applyBorder="1" applyAlignment="1">
      <alignment vertical="center" wrapText="1"/>
    </xf>
    <xf numFmtId="0" fontId="0" fillId="0" borderId="14" xfId="0" applyBorder="1" applyAlignment="1">
      <alignment vertical="center" wrapText="1"/>
    </xf>
    <xf numFmtId="165" fontId="0" fillId="0" borderId="15" xfId="0" applyNumberFormat="1" applyBorder="1" applyAlignment="1">
      <alignment vertical="center" wrapText="1"/>
    </xf>
    <xf numFmtId="165" fontId="0" fillId="0" borderId="16" xfId="0" applyNumberFormat="1" applyBorder="1" applyAlignment="1">
      <alignment vertical="center" wrapText="1"/>
    </xf>
    <xf numFmtId="167" fontId="1" fillId="0" borderId="7" xfId="0" applyNumberFormat="1" applyFont="1" applyBorder="1" applyAlignment="1">
      <alignment horizontal="right" vertical="center" wrapText="1"/>
    </xf>
    <xf numFmtId="164" fontId="0" fillId="0" borderId="16" xfId="0" applyNumberFormat="1" applyBorder="1" applyAlignment="1">
      <alignment vertical="center" wrapText="1"/>
    </xf>
    <xf numFmtId="0" fontId="1" fillId="0" borderId="0" xfId="0" applyFont="1" applyBorder="1" applyAlignment="1">
      <alignment horizontal="center" vertical="center" wrapText="1"/>
    </xf>
    <xf numFmtId="0" fontId="0" fillId="0" borderId="0" xfId="0" applyBorder="1" applyAlignment="1">
      <alignment vertical="center" wrapText="1"/>
    </xf>
    <xf numFmtId="164" fontId="1" fillId="0" borderId="0" xfId="0" applyNumberFormat="1" applyFont="1" applyBorder="1" applyAlignment="1">
      <alignment vertical="center" wrapText="1"/>
    </xf>
    <xf numFmtId="0" fontId="0" fillId="0" borderId="0" xfId="0" applyBorder="1" applyAlignment="1">
      <alignment horizontal="left" vertical="center" wrapText="1"/>
    </xf>
    <xf numFmtId="165" fontId="0" fillId="0" borderId="0" xfId="0" applyNumberFormat="1" applyBorder="1" applyAlignment="1">
      <alignment vertical="center" wrapText="1"/>
    </xf>
    <xf numFmtId="168" fontId="0" fillId="0" borderId="0" xfId="0" applyNumberFormat="1" applyBorder="1" applyAlignment="1">
      <alignment horizontal="center" vertical="center" wrapText="1"/>
    </xf>
    <xf numFmtId="167" fontId="0" fillId="0" borderId="0" xfId="0" applyNumberFormat="1" applyBorder="1" applyAlignment="1">
      <alignment horizontal="right" vertical="center" wrapText="1"/>
    </xf>
    <xf numFmtId="0" fontId="0" fillId="0" borderId="1" xfId="0" applyBorder="1" applyAlignment="1">
      <alignment horizontal="left" vertical="center" wrapText="1"/>
    </xf>
    <xf numFmtId="165" fontId="3" fillId="0" borderId="1" xfId="0" applyNumberFormat="1" applyFont="1" applyBorder="1" applyAlignment="1">
      <alignment horizontal="right" vertical="top" wrapText="1"/>
    </xf>
    <xf numFmtId="0" fontId="0" fillId="0" borderId="1" xfId="0" applyBorder="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vertical="center" wrapText="1"/>
    </xf>
    <xf numFmtId="0" fontId="0" fillId="0" borderId="25" xfId="0" applyBorder="1" applyAlignment="1">
      <alignment horizontal="center" vertical="center" wrapText="1"/>
    </xf>
    <xf numFmtId="166" fontId="0" fillId="0" borderId="1" xfId="0" applyNumberFormat="1" applyBorder="1" applyAlignment="1">
      <alignment vertical="center" wrapText="1"/>
    </xf>
    <xf numFmtId="0" fontId="0" fillId="0" borderId="17" xfId="0" applyBorder="1" applyAlignment="1">
      <alignment vertical="center" wrapText="1"/>
    </xf>
    <xf numFmtId="0" fontId="0" fillId="0" borderId="26" xfId="0" applyBorder="1" applyAlignment="1">
      <alignment horizontal="left" vertical="center" wrapText="1"/>
    </xf>
    <xf numFmtId="169" fontId="0" fillId="0" borderId="0" xfId="0" applyNumberFormat="1" applyFill="1" applyAlignment="1" applyProtection="1">
      <alignment vertical="center" wrapText="1"/>
    </xf>
    <xf numFmtId="0" fontId="0" fillId="3" borderId="0" xfId="0" applyNumberFormat="1" applyFill="1" applyAlignment="1" applyProtection="1">
      <alignment horizontal="center" vertical="center" wrapText="1"/>
    </xf>
    <xf numFmtId="0" fontId="0" fillId="4" borderId="0" xfId="0" applyNumberFormat="1" applyFill="1" applyAlignment="1" applyProtection="1">
      <alignment horizontal="center" vertical="center" wrapText="1"/>
    </xf>
    <xf numFmtId="0" fontId="0" fillId="3" borderId="0" xfId="0" applyNumberFormat="1" applyFill="1" applyAlignment="1" applyProtection="1">
      <alignment vertical="center" wrapText="1"/>
    </xf>
    <xf numFmtId="0" fontId="0" fillId="3" borderId="0" xfId="0" applyNumberFormat="1" applyFill="1" applyAlignment="1" applyProtection="1">
      <alignment horizontal="left" vertical="center" wrapText="1"/>
    </xf>
    <xf numFmtId="0" fontId="0" fillId="3" borderId="0" xfId="0" applyNumberFormat="1" applyFill="1" applyAlignment="1" applyProtection="1">
      <alignment wrapText="1"/>
    </xf>
    <xf numFmtId="0" fontId="0" fillId="0" borderId="23" xfId="0"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 fillId="0" borderId="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Border="1" applyAlignment="1">
      <alignment horizontal="center" vertical="center" wrapText="1"/>
    </xf>
    <xf numFmtId="0" fontId="0" fillId="0" borderId="17" xfId="0" applyBorder="1" applyAlignment="1">
      <alignment horizontal="left" vertical="center" wrapText="1"/>
    </xf>
    <xf numFmtId="0" fontId="0" fillId="0" borderId="0" xfId="0" applyBorder="1" applyAlignment="1">
      <alignment horizontal="center" vertical="center" wrapText="1"/>
    </xf>
    <xf numFmtId="0" fontId="1" fillId="0" borderId="1" xfId="0" applyFont="1" applyBorder="1" applyAlignment="1">
      <alignment horizontal="center" vertical="center" wrapText="1"/>
    </xf>
    <xf numFmtId="0" fontId="0" fillId="0" borderId="26" xfId="0" applyBorder="1" applyAlignment="1">
      <alignment horizontal="left"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0" fillId="6" borderId="0" xfId="0" applyNumberFormat="1" applyFill="1" applyAlignment="1" applyProtection="1">
      <alignment horizontal="center" vertical="center" wrapText="1"/>
    </xf>
    <xf numFmtId="0" fontId="0" fillId="4" borderId="0" xfId="0" applyNumberFormat="1" applyFill="1" applyAlignment="1" applyProtection="1">
      <alignment vertical="center" wrapText="1"/>
    </xf>
    <xf numFmtId="0" fontId="0" fillId="6" borderId="0" xfId="0" applyNumberFormat="1" applyFill="1" applyAlignment="1" applyProtection="1">
      <alignment vertical="center" wrapText="1"/>
    </xf>
    <xf numFmtId="0" fontId="0" fillId="5" borderId="0" xfId="0" applyNumberFormat="1" applyFill="1" applyAlignment="1" applyProtection="1">
      <alignment vertical="center" wrapText="1"/>
    </xf>
    <xf numFmtId="0" fontId="0" fillId="6" borderId="0" xfId="0" applyNumberFormat="1" applyFill="1" applyAlignment="1" applyProtection="1">
      <alignment wrapText="1"/>
    </xf>
    <xf numFmtId="0" fontId="0" fillId="4" borderId="0" xfId="0" applyNumberFormat="1" applyFill="1" applyAlignment="1" applyProtection="1">
      <alignment wrapText="1"/>
    </xf>
    <xf numFmtId="0" fontId="0" fillId="7" borderId="0" xfId="0" applyNumberFormat="1" applyFill="1" applyAlignment="1" applyProtection="1">
      <alignment wrapText="1"/>
    </xf>
    <xf numFmtId="0" fontId="0" fillId="5" borderId="0" xfId="0" applyNumberFormat="1" applyFill="1" applyAlignment="1" applyProtection="1">
      <alignment wrapText="1"/>
    </xf>
    <xf numFmtId="0" fontId="0" fillId="0" borderId="0" xfId="0" applyNumberFormat="1" applyFill="1" applyAlignment="1" applyProtection="1">
      <alignment horizontal="right" wrapText="1"/>
    </xf>
  </cellXfs>
  <cellStyles count="1">
    <cellStyle name="Normal" xfId="0" builtinId="0"/>
  </cellStyles>
  <dxfs count="1031">
    <dxf>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right" vertical="bottom" textRotation="0" wrapText="1" indent="0" justifyLastLine="0" shrinkToFit="0" readingOrder="0"/>
    </dxf>
    <dxf>
      <fill>
        <patternFill patternType="solid">
          <fgColor indexed="64"/>
          <bgColor theme="6" tint="0.79998168889431442"/>
        </patternFill>
      </fill>
      <alignment horizontal="general" vertical="bottom" textRotation="0" wrapText="1" indent="0" justifyLastLine="0" shrinkToFit="0" readingOrder="0"/>
    </dxf>
    <dxf>
      <alignment horizontal="center" vertical="bottom" textRotation="0" wrapText="1" indent="0" justifyLastLine="0" shrinkToFit="0" readingOrder="0"/>
    </dxf>
    <dxf>
      <fill>
        <patternFill patternType="solid">
          <fgColor indexed="64"/>
          <bgColor rgb="FF00B050"/>
        </patternFill>
      </fill>
      <alignment horizontal="general" vertical="bottom" textRotation="0" wrapText="1" indent="0" justifyLastLine="0" shrinkToFit="0" readingOrder="0"/>
    </dxf>
    <dxf>
      <fill>
        <patternFill patternType="solid">
          <fgColor indexed="64"/>
          <bgColor theme="6" tint="0.79998168889431442"/>
        </patternFill>
      </fill>
      <alignment horizontal="general" vertical="bottom" textRotation="0" wrapText="1" indent="0" justifyLastLine="0" shrinkToFit="0" readingOrder="0"/>
    </dxf>
    <dxf>
      <alignment horizontal="center"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solid">
          <fgColor indexed="64"/>
          <bgColor theme="6" tint="0.79998168889431442"/>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theme="6" tint="0.79998168889431442"/>
        </patternFill>
      </fill>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theme="6" tint="0.79998168889431442"/>
        </patternFill>
      </fill>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theme="6" tint="0.79998168889431442"/>
        </patternFill>
      </fill>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theme="6" tint="0.79998168889431442"/>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solid">
          <fgColor indexed="64"/>
          <bgColor theme="6" tint="0.79998168889431442"/>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theme="6" tint="0.79998168889431442"/>
        </patternFill>
      </fill>
      <alignment horizontal="general"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theme="6" tint="0.79998168889431442"/>
        </patternFill>
      </fill>
      <alignment horizontal="general"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theme="6" tint="0.79998168889431442"/>
        </patternFill>
      </fill>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horizontal="left"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horizontal="left"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1" indent="0" justifyLastLine="0" shrinkToFit="0" readingOrder="0"/>
      <protection locked="1" hidden="0"/>
    </dxf>
    <dxf>
      <fill>
        <patternFill patternType="solid">
          <fgColor indexed="64"/>
          <bgColor theme="6" tint="0.79998168889431442"/>
        </patternFill>
      </fill>
      <alignment horizontal="left"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theme="6" tint="0.79998168889431442"/>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fill>
        <patternFill patternType="solid">
          <fgColor indexed="64"/>
          <bgColor theme="6" tint="0.79998168889431442"/>
        </patternFill>
      </fill>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fill>
        <patternFill patternType="solid">
          <fgColor indexed="64"/>
          <bgColor theme="6" tint="0.79998168889431442"/>
        </patternFill>
      </fill>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fill>
        <patternFill patternType="solid">
          <fgColor indexed="64"/>
          <bgColor theme="6" tint="0.79998168889431442"/>
        </patternFill>
      </fill>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fill>
        <patternFill patternType="solid">
          <fgColor indexed="64"/>
          <bgColor theme="6" tint="0.79998168889431442"/>
        </patternFill>
      </fill>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horizontal="left"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horizontal="left"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horizontal="left"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horizontal="left"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F4459B-162E-416F-9E98-DD30D470E72D}" name="ReporteAvancePlanIndicativo342" displayName="ReporteAvancePlanIndicativo342" ref="A1:W19" totalsRowCount="1" headerRowDxfId="1030" dataDxfId="1029">
  <tableColumns count="23">
    <tableColumn id="21" xr3:uid="{AC028718-5E4B-4DB8-A0AF-089BB49CBA77}" name="Producto" dataDxfId="1028" totalsRowDxfId="1027"/>
    <tableColumn id="25" xr3:uid="{34F617CD-8C89-4DF3-92F0-87884779DA5F}" name="Indicador Producto" dataDxfId="1026" totalsRowDxfId="1025"/>
    <tableColumn id="28" xr3:uid="{B5842BF6-3519-4E55-9717-4191BD70F00A}" name="Meta Cuatrienio" dataDxfId="1024" totalsRowDxfId="1023"/>
    <tableColumn id="36" xr3:uid="{8C6ADED4-56A1-45F4-9E10-4A0BE98E8936}" name="Programado 2020" dataDxfId="1022" totalsRowDxfId="1021"/>
    <tableColumn id="37" xr3:uid="{0D749FFA-475D-4BF0-9D4F-3139B4C82BA1}" name="Ejecutado 2020" dataDxfId="1020" totalsRowDxfId="1019"/>
    <tableColumn id="38" xr3:uid="{0F7171F1-379A-4252-B7C6-339E888C53FA}" name="% Avance 2020" totalsRowFunction="custom" dataDxfId="1018" totalsRowDxfId="1017">
      <totalsRowFormula>SUBTOTAL(109,ReporteAvancePlanIndicativo342[% Avance 2020])/11</totalsRowFormula>
    </tableColumn>
    <tableColumn id="39" xr3:uid="{4E145579-5336-45E4-B0B0-E67F06E67BBB}" name="Rango 2020" dataDxfId="1016" totalsRowDxfId="1015"/>
    <tableColumn id="40" xr3:uid="{B41AA495-A40F-4810-BB23-E1094E572100}" name="Observacion 2020" dataDxfId="1014" totalsRowDxfId="1013"/>
    <tableColumn id="41" xr3:uid="{FC48026E-4720-41B2-AFDA-C28F5439F50E}" name="Programado 2021" dataDxfId="1012" totalsRowDxfId="1011"/>
    <tableColumn id="42" xr3:uid="{705B94E8-E66C-4D69-946E-6DCDDB309944}" name="Ejecutado 2021" dataDxfId="1010" totalsRowDxfId="1009"/>
    <tableColumn id="43" xr3:uid="{32211E8B-6CD1-4673-9579-A789AD42B4F3}" name="% Avance 2021" totalsRowFunction="custom" dataDxfId="1008" totalsRowDxfId="1007">
      <totalsRowFormula>SUBTOTAL(109,ReporteAvancePlanIndicativo342[% Avance 2021])/15</totalsRowFormula>
    </tableColumn>
    <tableColumn id="44" xr3:uid="{A126A404-402B-4A3F-B540-DAE0D8B2BB69}" name="Rango 2021" dataDxfId="1006" totalsRowDxfId="1005"/>
    <tableColumn id="45" xr3:uid="{BBCB0214-A221-4622-83A8-EBA2356021E2}" name="Observacion 2021" dataDxfId="1004" totalsRowDxfId="1003"/>
    <tableColumn id="46" xr3:uid="{78EBADEF-A7CD-4058-8E67-558B72075D02}" name="Programado 2022" dataDxfId="1002" totalsRowDxfId="1001"/>
    <tableColumn id="47" xr3:uid="{B924BACD-C5EA-4B5C-85A8-E4F70157122D}" name="Ejecutado 2022" dataDxfId="1000" totalsRowDxfId="999"/>
    <tableColumn id="48" xr3:uid="{3E176106-850F-4CF4-81C6-D699429F5382}" name="% Avance 2022" totalsRowFunction="custom" dataDxfId="998" totalsRowDxfId="997">
      <totalsRowFormula>SUBTOTAL(109,ReporteAvancePlanIndicativo342[% Avance 2022])/15</totalsRowFormula>
    </tableColumn>
    <tableColumn id="49" xr3:uid="{591A22C6-B601-405B-A557-6325FBF7F67F}" name="Rango 2022" dataDxfId="996" totalsRowDxfId="995"/>
    <tableColumn id="50" xr3:uid="{307F3BE1-42FE-461A-8198-D1B081DF9188}" name="Observacion 2022" dataDxfId="994" totalsRowDxfId="993"/>
    <tableColumn id="51" xr3:uid="{E1A4B467-1609-4048-A881-D8B4B9552FB8}" name="Programado 2023" dataDxfId="992" totalsRowDxfId="991"/>
    <tableColumn id="52" xr3:uid="{EF2A81C8-DCF5-45DF-817D-7F7DF872FBE5}" name="Ejecutado 2023" dataDxfId="990" totalsRowDxfId="989"/>
    <tableColumn id="53" xr3:uid="{2F15F0D7-1731-48E1-9056-8E8D8E05BE07}" name="% Avance 2023" totalsRowFunction="custom" dataDxfId="988" totalsRowDxfId="987">
      <totalsRowFormula>SUBTOTAL(109,ReporteAvancePlanIndicativo342[% Avance 2023])/17</totalsRowFormula>
    </tableColumn>
    <tableColumn id="54" xr3:uid="{39BD6AEC-35B3-4C06-80FE-887A9B2172E9}" name="Rango 2023" dataDxfId="986" totalsRowDxfId="985"/>
    <tableColumn id="55" xr3:uid="{F050CA33-42D6-4A36-A06A-AD0E0B3C199E}" name="Observacion 2023" dataDxfId="984" totalsRowDxfId="98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ReporteAvancePlanIndicativo37" displayName="ReporteAvancePlanIndicativo37" ref="A1:M12" totalsRowCount="1" headerRowDxfId="686" dataDxfId="685">
  <tableColumns count="13">
    <tableColumn id="21" xr3:uid="{00000000-0010-0000-0A00-000015000000}" name="Producto" dataDxfId="684" totalsRowDxfId="37"/>
    <tableColumn id="25" xr3:uid="{00000000-0010-0000-0A00-000019000000}" name="Indicador Producto" dataDxfId="683" totalsRowDxfId="36"/>
    <tableColumn id="28" xr3:uid="{00000000-0010-0000-0A00-00001C000000}" name="Meta Cuatrienio" dataDxfId="682" totalsRowDxfId="35"/>
    <tableColumn id="36" xr3:uid="{00000000-0010-0000-0A00-000024000000}" name="Programado 2020" dataDxfId="681" totalsRowDxfId="34"/>
    <tableColumn id="37" xr3:uid="{00000000-0010-0000-0A00-000025000000}" name="Ejecutado 2020" dataDxfId="680" totalsRowDxfId="33"/>
    <tableColumn id="41" xr3:uid="{00000000-0010-0000-0A00-000029000000}" name="Programado 2021" dataDxfId="679" totalsRowDxfId="32"/>
    <tableColumn id="42" xr3:uid="{00000000-0010-0000-0A00-00002A000000}" name="Ejecutado 2021" dataDxfId="678" totalsRowDxfId="31"/>
    <tableColumn id="46" xr3:uid="{00000000-0010-0000-0A00-00002E000000}" name="Programado 2022" dataDxfId="677" totalsRowDxfId="30"/>
    <tableColumn id="47" xr3:uid="{00000000-0010-0000-0A00-00002F000000}" name="Ejecutado 2022" dataDxfId="676" totalsRowDxfId="29"/>
    <tableColumn id="51" xr3:uid="{00000000-0010-0000-0A00-000033000000}" name="Programado 2023" dataDxfId="675" totalsRowDxfId="28"/>
    <tableColumn id="52" xr3:uid="{00000000-0010-0000-0A00-000034000000}" name="Ejecutado 2023" dataDxfId="674" totalsRowDxfId="27"/>
    <tableColumn id="1" xr3:uid="{D07C69D4-EF22-4F4D-99D8-09487C5A3390}" name="Consolidado 2020 - 2023*" totalsRowFunction="custom" dataDxfId="673" totalsRowDxfId="26">
      <totalsRowFormula>SUBTOTAL(109,ReporteAvancePlanIndicativo37[Consolidado 2020 - 2023*])/10</totalsRowFormula>
    </tableColumn>
    <tableColumn id="2" xr3:uid="{7BF98592-5F7F-4A95-B19B-DB85596E18C5}" name="Alertas" dataDxfId="25" totalsRowDxfId="2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09F0426-13CF-478C-AD5D-396B84EF469B}" name="ReporteAvancePlanIndicativo3822" displayName="ReporteAvancePlanIndicativo3822" ref="A1:W10" totalsRowCount="1" headerRowDxfId="672" dataDxfId="671">
  <autoFilter ref="A1:W9" xr:uid="{F09F0426-13CF-478C-AD5D-396B84EF469B}"/>
  <tableColumns count="23">
    <tableColumn id="21" xr3:uid="{0CD69A7A-CBDD-4E21-A274-6ABBFC562AAB}" name="Producto" dataDxfId="670" totalsRowDxfId="669"/>
    <tableColumn id="25" xr3:uid="{B616A18A-526E-41C2-A67F-D846F7B41356}" name="Indicador Producto" dataDxfId="668" totalsRowDxfId="667"/>
    <tableColumn id="28" xr3:uid="{270AA082-A86B-4D37-9405-539009E18562}" name="Meta Cuatrienio" dataDxfId="666" totalsRowDxfId="665"/>
    <tableColumn id="36" xr3:uid="{21EB6086-2B2B-4CC4-B7EE-09A7A007A34B}" name="Programado 2020" dataDxfId="664" totalsRowDxfId="663"/>
    <tableColumn id="37" xr3:uid="{DACAC25C-8C32-40F0-9CBC-CF665D42CC43}" name="Ejecutado 2020" dataDxfId="662" totalsRowDxfId="661"/>
    <tableColumn id="38" xr3:uid="{9695AB15-BBB1-4846-ACDD-D183AC845AF2}" name="% Avance 2020" totalsRowFunction="custom" dataDxfId="660" totalsRowDxfId="659">
      <totalsRowFormula>SUBTOTAL(109,ReporteAvancePlanIndicativo3822[% Avance 2020])/7</totalsRowFormula>
    </tableColumn>
    <tableColumn id="39" xr3:uid="{B4A6BA23-1EFE-4AA7-8549-28E949DB8139}" name="Rango 2020" dataDxfId="658" totalsRowDxfId="657"/>
    <tableColumn id="40" xr3:uid="{92EC0488-4397-45EE-8C18-792691638943}" name="Observacion 2020" dataDxfId="656" totalsRowDxfId="655"/>
    <tableColumn id="41" xr3:uid="{1875DFD7-6D9F-4061-B364-85015B98DAE9}" name="Programado 2021" dataDxfId="654" totalsRowDxfId="653"/>
    <tableColumn id="42" xr3:uid="{8C783696-697D-4C0B-98B5-DB5CBD748532}" name="Ejecutado 2021" dataDxfId="652" totalsRowDxfId="651"/>
    <tableColumn id="43" xr3:uid="{FF935090-918B-43FA-A58D-19F0E83DBC09}" name="% Avance 2021" totalsRowFunction="custom" dataDxfId="650" totalsRowDxfId="649">
      <totalsRowFormula>SUBTOTAL(109,ReporteAvancePlanIndicativo3822[% Avance 2021])/7</totalsRowFormula>
    </tableColumn>
    <tableColumn id="44" xr3:uid="{FE88AF68-48E1-4D76-9CE4-0BE2EA5CEA02}" name="Rango 2021" dataDxfId="648" totalsRowDxfId="647"/>
    <tableColumn id="45" xr3:uid="{FEF11847-10A1-4694-8BC0-47447F91CD3B}" name="Observacion 2021" dataDxfId="646" totalsRowDxfId="645"/>
    <tableColumn id="46" xr3:uid="{7C1E3A49-5A62-414B-A970-BB571382131B}" name="Programado 2022" dataDxfId="644" totalsRowDxfId="643"/>
    <tableColumn id="47" xr3:uid="{EB18AFE2-B7F9-4FC1-AEAD-890FE59F1966}" name="Ejecutado 2022" dataDxfId="642" totalsRowDxfId="641"/>
    <tableColumn id="48" xr3:uid="{CA41D4AE-30EA-4AFB-989E-88F27D9F980A}" name="% Avance 2022" totalsRowFunction="custom" dataDxfId="640" totalsRowDxfId="639">
      <totalsRowFormula>SUBTOTAL(109,ReporteAvancePlanIndicativo3822[% Avance 2022])/8</totalsRowFormula>
    </tableColumn>
    <tableColumn id="49" xr3:uid="{47826C62-6022-4F52-A543-2D92C4518FB4}" name="Rango 2022" dataDxfId="638" totalsRowDxfId="637"/>
    <tableColumn id="50" xr3:uid="{83A2CA2E-4DA7-4C67-A828-D3F885BB670A}" name="Observacion 2022" dataDxfId="636" totalsRowDxfId="635"/>
    <tableColumn id="51" xr3:uid="{2A80A2F6-A14D-456C-876B-CC703A439C6C}" name="Programado 2023" dataDxfId="634" totalsRowDxfId="633"/>
    <tableColumn id="52" xr3:uid="{574790AC-BC54-4ADF-92A7-09420D96F684}" name="Ejecutado 2023" dataDxfId="632" totalsRowDxfId="631"/>
    <tableColumn id="53" xr3:uid="{321A73E2-46D7-4872-9BE1-225C910CC8E4}" name="% Avance 2023" totalsRowFunction="custom" dataDxfId="630" totalsRowDxfId="629">
      <totalsRowFormula>SUBTOTAL(109,ReporteAvancePlanIndicativo3822[% Avance 2023])/7</totalsRowFormula>
    </tableColumn>
    <tableColumn id="54" xr3:uid="{40A5FB37-7434-425F-A512-6349D62EC5D1}" name="Rango 2023" dataDxfId="628" totalsRowDxfId="627"/>
    <tableColumn id="55" xr3:uid="{1DF86102-3D66-42E4-9477-8A828C529147}" name="Observacion 2023" dataDxfId="626" totalsRowDxfId="62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ReporteAvancePlanIndicativo38" displayName="ReporteAvancePlanIndicativo38" ref="A1:M10" totalsRowCount="1" headerRowDxfId="624" dataDxfId="623">
  <tableColumns count="13">
    <tableColumn id="21" xr3:uid="{00000000-0010-0000-0900-000015000000}" name="Producto" dataDxfId="622" totalsRowDxfId="621"/>
    <tableColumn id="25" xr3:uid="{00000000-0010-0000-0900-000019000000}" name="Indicador Producto" dataDxfId="620" totalsRowDxfId="619"/>
    <tableColumn id="28" xr3:uid="{00000000-0010-0000-0900-00001C000000}" name="Meta Cuatrienio" dataDxfId="618" totalsRowDxfId="617"/>
    <tableColumn id="36" xr3:uid="{00000000-0010-0000-0900-000024000000}" name="Programado 2020" dataDxfId="616" totalsRowDxfId="615"/>
    <tableColumn id="37" xr3:uid="{00000000-0010-0000-0900-000025000000}" name="Ejecutado 2020" dataDxfId="614" totalsRowDxfId="613"/>
    <tableColumn id="41" xr3:uid="{00000000-0010-0000-0900-000029000000}" name="Programado 2021" dataDxfId="612" totalsRowDxfId="611"/>
    <tableColumn id="42" xr3:uid="{00000000-0010-0000-0900-00002A000000}" name="Ejecutado 2021" dataDxfId="610" totalsRowDxfId="609"/>
    <tableColumn id="46" xr3:uid="{00000000-0010-0000-0900-00002E000000}" name="Programado 2022" dataDxfId="608" totalsRowDxfId="607"/>
    <tableColumn id="47" xr3:uid="{00000000-0010-0000-0900-00002F000000}" name="Ejecutado 2022" dataDxfId="606" totalsRowDxfId="605"/>
    <tableColumn id="51" xr3:uid="{00000000-0010-0000-0900-000033000000}" name="Programado 2023" dataDxfId="604" totalsRowDxfId="603"/>
    <tableColumn id="52" xr3:uid="{00000000-0010-0000-0900-000034000000}" name="Ejecutado 2023" dataDxfId="602" totalsRowDxfId="601"/>
    <tableColumn id="1" xr3:uid="{8DAE3343-E428-45AD-98C0-5D2A4020FDBB}" name="Consolidado 2020 - 2023*" totalsRowFunction="custom" dataDxfId="600" totalsRowDxfId="599">
      <totalsRowFormula>SUBTOTAL(109,ReporteAvancePlanIndicativo38[Consolidado 2020 - 2023*])/8</totalsRowFormula>
    </tableColumn>
    <tableColumn id="2" xr3:uid="{23E23082-C55B-4662-A55D-78F2A1C4CB03}" name="Alertas" dataDxfId="23" totalsRowDxfId="2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5ED03D3-CDDA-4085-A698-FBB7C6E77FB0}" name="ReporteAvancePlanIndicativo31723" displayName="ReporteAvancePlanIndicativo31723" ref="A1:W13" totalsRowCount="1" headerRowDxfId="598" dataDxfId="597">
  <autoFilter ref="A1:W12" xr:uid="{45ED03D3-CDDA-4085-A698-FBB7C6E77FB0}"/>
  <tableColumns count="23">
    <tableColumn id="21" xr3:uid="{39BC2100-78DD-4957-B2C0-018FAD12FC1A}" name="Producto" dataDxfId="596" totalsRowDxfId="595"/>
    <tableColumn id="25" xr3:uid="{7F52FA9A-88AF-42AF-B227-8BBB12BFA773}" name="Indicador Producto" dataDxfId="594" totalsRowDxfId="593"/>
    <tableColumn id="28" xr3:uid="{3B2AB77B-B0CF-4A55-A81B-F04CFDECF1EB}" name="Meta Cuatrienio" dataDxfId="592" totalsRowDxfId="591"/>
    <tableColumn id="36" xr3:uid="{204833EB-F753-40E6-A023-545AF3EDA069}" name="Programado 2020" dataDxfId="590" totalsRowDxfId="589"/>
    <tableColumn id="37" xr3:uid="{CB1ADEBE-8ADC-4A00-AAF5-AB2AF6D507AE}" name="Ejecutado 2020" dataDxfId="588" totalsRowDxfId="587"/>
    <tableColumn id="38" xr3:uid="{1B188AB4-FC0A-4BAE-8088-EF4F762758EF}" name="% Avance 2020" totalsRowFunction="custom" dataDxfId="586" totalsRowDxfId="585">
      <totalsRowFormula>SUBTOTAL(109,ReporteAvancePlanIndicativo31723[% Avance 2020])/9</totalsRowFormula>
    </tableColumn>
    <tableColumn id="39" xr3:uid="{E363D088-7620-4E1A-9DDF-EB51DCE23DEA}" name="Rango 2020" dataDxfId="584" totalsRowDxfId="583"/>
    <tableColumn id="40" xr3:uid="{7EA8D6F8-08F7-4D54-AD77-9E874B2C22C3}" name="Observacion 2020" dataDxfId="582" totalsRowDxfId="581"/>
    <tableColumn id="41" xr3:uid="{62BAD1F7-61C5-4F4F-B3FE-2B7892E3DD2A}" name="Programado 2021" dataDxfId="580" totalsRowDxfId="579"/>
    <tableColumn id="42" xr3:uid="{2D944DDC-7AA8-4808-8C3C-EF02CF275BE9}" name="Ejecutado 2021" dataDxfId="578" totalsRowDxfId="577"/>
    <tableColumn id="43" xr3:uid="{882C264B-2743-482F-9628-6E7A92A3CB38}" name="% Avance 2021" totalsRowFunction="custom" dataDxfId="576" totalsRowDxfId="575">
      <totalsRowFormula>SUBTOTAL(109,ReporteAvancePlanIndicativo31723[% Avance 2021])/10</totalsRowFormula>
    </tableColumn>
    <tableColumn id="44" xr3:uid="{24B5B771-314E-411A-9B6D-F7B16FB4C62F}" name="Rango 2021" dataDxfId="574" totalsRowDxfId="573"/>
    <tableColumn id="45" xr3:uid="{36695D4A-F29C-402D-A1EC-0D7C0F792AC1}" name="Observacion 2021" dataDxfId="572" totalsRowDxfId="571"/>
    <tableColumn id="46" xr3:uid="{85970DDC-A154-4956-B0C0-287F2D15AF9F}" name="Programado 2022" dataDxfId="570" totalsRowDxfId="569"/>
    <tableColumn id="47" xr3:uid="{49BE6796-D8C5-4615-8388-E1DDEA605145}" name="Ejecutado 2022" dataDxfId="568" totalsRowDxfId="567"/>
    <tableColumn id="48" xr3:uid="{E066AC1F-7349-43D5-A6C3-337CE0286FE7}" name="% Avance 2022" totalsRowFunction="custom" dataDxfId="566" totalsRowDxfId="565">
      <totalsRowFormula>SUBTOTAL(109,ReporteAvancePlanIndicativo31723[% Avance 2022])/9</totalsRowFormula>
    </tableColumn>
    <tableColumn id="49" xr3:uid="{2FCBDDDB-33D0-4310-BEE1-B9CB372AEBE2}" name="Rango 2022" dataDxfId="564" totalsRowDxfId="563"/>
    <tableColumn id="50" xr3:uid="{F4BF76CB-475A-47B0-A9FC-8CAD9EE46FDF}" name="Observacion 2022" dataDxfId="562" totalsRowDxfId="561"/>
    <tableColumn id="51" xr3:uid="{0784C1BC-21A4-4AC6-94D8-654E51DA297C}" name="Programado 2023" dataDxfId="560" totalsRowDxfId="559"/>
    <tableColumn id="52" xr3:uid="{E5B95ABD-DA3C-4489-BED5-1CC7DAE89A8C}" name="Ejecutado 2023" dataDxfId="558" totalsRowDxfId="557"/>
    <tableColumn id="53" xr3:uid="{935946B1-A370-45C7-8702-DF4B34A06EF4}" name="% Avance 2023" totalsRowFunction="custom" dataDxfId="556" totalsRowDxfId="555">
      <totalsRowFormula>SUBTOTAL(109,ReporteAvancePlanIndicativo31723[% Avance 2023])/11</totalsRowFormula>
    </tableColumn>
    <tableColumn id="54" xr3:uid="{473E7AEF-2EA8-48F0-A5DF-F2F0685A726F}" name="Rango 2023" dataDxfId="554" totalsRowDxfId="553"/>
    <tableColumn id="55" xr3:uid="{CC7EFEA6-6114-4EB5-A98B-4DD1FEB2CB9C}" name="Observacion 2023" dataDxfId="552" totalsRowDxfId="55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ReporteAvancePlanIndicativo317" displayName="ReporteAvancePlanIndicativo317" ref="A1:M13" totalsRowCount="1" headerRowDxfId="550" dataDxfId="549">
  <tableColumns count="13">
    <tableColumn id="21" xr3:uid="{00000000-0010-0000-0800-000015000000}" name="Producto" dataDxfId="548" totalsRowDxfId="547"/>
    <tableColumn id="25" xr3:uid="{00000000-0010-0000-0800-000019000000}" name="Indicador Producto" dataDxfId="546" totalsRowDxfId="545"/>
    <tableColumn id="28" xr3:uid="{00000000-0010-0000-0800-00001C000000}" name="Meta Cuatrienio" dataDxfId="544" totalsRowDxfId="543"/>
    <tableColumn id="36" xr3:uid="{00000000-0010-0000-0800-000024000000}" name="Programado 2020" dataDxfId="542" totalsRowDxfId="541"/>
    <tableColumn id="37" xr3:uid="{00000000-0010-0000-0800-000025000000}" name="Ejecutado 2020" dataDxfId="540" totalsRowDxfId="539"/>
    <tableColumn id="41" xr3:uid="{00000000-0010-0000-0800-000029000000}" name="Programado 2021" dataDxfId="538" totalsRowDxfId="537"/>
    <tableColumn id="42" xr3:uid="{00000000-0010-0000-0800-00002A000000}" name="Ejecutado 2021" dataDxfId="536" totalsRowDxfId="535"/>
    <tableColumn id="46" xr3:uid="{00000000-0010-0000-0800-00002E000000}" name="Programado 2022" dataDxfId="534" totalsRowDxfId="533"/>
    <tableColumn id="47" xr3:uid="{00000000-0010-0000-0800-00002F000000}" name="Ejecutado 2022" dataDxfId="532" totalsRowDxfId="531"/>
    <tableColumn id="51" xr3:uid="{00000000-0010-0000-0800-000033000000}" name="Programado 2023" dataDxfId="530" totalsRowDxfId="529"/>
    <tableColumn id="52" xr3:uid="{00000000-0010-0000-0800-000034000000}" name="Ejecutado 2023" dataDxfId="528" totalsRowDxfId="527"/>
    <tableColumn id="1" xr3:uid="{A10D7225-9265-463D-BD8D-388812595EBA}" name="Consolidado 2020 - 2023*" totalsRowFunction="custom" dataDxfId="526" totalsRowDxfId="525">
      <totalsRowFormula>SUBTOTAL(109,ReporteAvancePlanIndicativo317[Consolidado 2020 - 2023*])/11</totalsRowFormula>
    </tableColumn>
    <tableColumn id="2" xr3:uid="{0AA148F9-95FD-4CDB-A4A8-AD190A4446CC}" name="Alertas" dataDxfId="21" totalsRowDxfId="2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1821950-416C-41B5-AE0D-41F410B75125}" name="ReporteAvancePlanIndicativo31124" displayName="ReporteAvancePlanIndicativo31124" ref="A1:M24" totalsRowCount="1" headerRowDxfId="524" dataDxfId="523">
  <tableColumns count="13">
    <tableColumn id="21" xr3:uid="{1F45FE17-EFCE-4BF0-9284-479805B23A65}" name="Producto" dataDxfId="522" totalsRowDxfId="521"/>
    <tableColumn id="25" xr3:uid="{DE20DDE4-4F86-4076-B123-1D3E37512FBD}" name="Indicador Producto" dataDxfId="520" totalsRowDxfId="519"/>
    <tableColumn id="28" xr3:uid="{FBCCBDD6-2AA9-4DBD-AA5E-F7D8DA6308B3}" name="Meta Cuatrienio" dataDxfId="518" totalsRowDxfId="517"/>
    <tableColumn id="36" xr3:uid="{7B5AEC18-DCBA-44A5-BBBC-E2A7DF13F25C}" name="Programado 2020" dataDxfId="516" totalsRowDxfId="515"/>
    <tableColumn id="37" xr3:uid="{234E0C35-1048-47CB-8625-BC8F726988A5}" name="Ejecutado 2020" dataDxfId="514" totalsRowDxfId="513"/>
    <tableColumn id="41" xr3:uid="{398BA527-3974-4DC0-9971-33011319AAA5}" name="Programado 2021" dataDxfId="512" totalsRowDxfId="511"/>
    <tableColumn id="42" xr3:uid="{6150FCE5-74BC-44C9-A00A-FC11F9034BAC}" name="Ejecutado 2021" dataDxfId="510" totalsRowDxfId="509"/>
    <tableColumn id="46" xr3:uid="{CE481174-C9B0-441D-9BDC-7AFE5A159F91}" name="Programado 2022" dataDxfId="508" totalsRowDxfId="507"/>
    <tableColumn id="47" xr3:uid="{179762A6-C041-4CAF-97B8-938F9167B523}" name="Ejecutado 2022" dataDxfId="506" totalsRowDxfId="505"/>
    <tableColumn id="51" xr3:uid="{925B1D40-CADE-45C8-B0A6-15ACF928097E}" name="Programado 2023" dataDxfId="504" totalsRowDxfId="503"/>
    <tableColumn id="52" xr3:uid="{45A89BEB-200D-44D2-A9F6-8FBA1F60C42E}" name="Ejecutado 2023" dataDxfId="502" totalsRowDxfId="501"/>
    <tableColumn id="4" xr3:uid="{BD225DEE-5617-4C4F-ABCB-4A58ACDE947B}" name="Consolidado 2020 - 2023*" totalsRowFunction="custom" dataDxfId="500" totalsRowDxfId="499">
      <totalsRowFormula>SUBTOTAL(109,ReporteAvancePlanIndicativo31124[Consolidado 2020 - 2023*])/22</totalsRowFormula>
    </tableColumn>
    <tableColumn id="1" xr3:uid="{3C59261A-AA42-4674-B82D-542ECBCD0EDA}" name="Alertas" dataDxfId="19" totalsRowDxfId="18"/>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ReporteAvancePlanIndicativo311" displayName="ReporteAvancePlanIndicativo311" ref="A1:W24" totalsRowCount="1" headerRowDxfId="498" dataDxfId="497">
  <autoFilter ref="A1:W23" xr:uid="{00000000-0009-0000-0100-00000A000000}"/>
  <tableColumns count="23">
    <tableColumn id="21" xr3:uid="{00000000-0010-0000-0700-000015000000}" name="Producto" dataDxfId="496" totalsRowDxfId="495"/>
    <tableColumn id="25" xr3:uid="{00000000-0010-0000-0700-000019000000}" name="Indicador Producto" dataDxfId="494" totalsRowDxfId="493"/>
    <tableColumn id="28" xr3:uid="{00000000-0010-0000-0700-00001C000000}" name="Meta Cuatrienio" dataDxfId="492" totalsRowDxfId="491"/>
    <tableColumn id="36" xr3:uid="{00000000-0010-0000-0700-000024000000}" name="Programado 2020" dataDxfId="490" totalsRowDxfId="489"/>
    <tableColumn id="37" xr3:uid="{00000000-0010-0000-0700-000025000000}" name="Ejecutado 2020" dataDxfId="488" totalsRowDxfId="487"/>
    <tableColumn id="38" xr3:uid="{00000000-0010-0000-0700-000026000000}" name="% Avance 2020" totalsRowFunction="custom" dataDxfId="486" totalsRowDxfId="485">
      <totalsRowFormula>SUBTOTAL(109,ReporteAvancePlanIndicativo311[% Avance 2020])/12</totalsRowFormula>
    </tableColumn>
    <tableColumn id="39" xr3:uid="{00000000-0010-0000-0700-000027000000}" name="Rango 2020" dataDxfId="484" totalsRowDxfId="483"/>
    <tableColumn id="40" xr3:uid="{00000000-0010-0000-0700-000028000000}" name="Observacion 2020" dataDxfId="482" totalsRowDxfId="481"/>
    <tableColumn id="41" xr3:uid="{00000000-0010-0000-0700-000029000000}" name="Programado 2021" dataDxfId="480" totalsRowDxfId="479"/>
    <tableColumn id="42" xr3:uid="{00000000-0010-0000-0700-00002A000000}" name="Ejecutado 2021" dataDxfId="478" totalsRowDxfId="477"/>
    <tableColumn id="43" xr3:uid="{00000000-0010-0000-0700-00002B000000}" name="% Avance 2021" totalsRowFunction="custom" dataDxfId="476" totalsRowDxfId="475">
      <totalsRowFormula>SUBTOTAL(109,ReporteAvancePlanIndicativo311[% Avance 2021])/14</totalsRowFormula>
    </tableColumn>
    <tableColumn id="44" xr3:uid="{00000000-0010-0000-0700-00002C000000}" name="Rango 2021" dataDxfId="474" totalsRowDxfId="473"/>
    <tableColumn id="45" xr3:uid="{00000000-0010-0000-0700-00002D000000}" name="Observacion 2021" dataDxfId="472" totalsRowDxfId="471"/>
    <tableColumn id="46" xr3:uid="{00000000-0010-0000-0700-00002E000000}" name="Programado 2022" dataDxfId="470" totalsRowDxfId="469"/>
    <tableColumn id="47" xr3:uid="{00000000-0010-0000-0700-00002F000000}" name="Ejecutado 2022" dataDxfId="468" totalsRowDxfId="467"/>
    <tableColumn id="48" xr3:uid="{00000000-0010-0000-0700-000030000000}" name="% Avance 2022" totalsRowFunction="custom" dataDxfId="466" totalsRowDxfId="465">
      <totalsRowFormula>SUBTOTAL(109,ReporteAvancePlanIndicativo311[% Avance 2022])/17</totalsRowFormula>
    </tableColumn>
    <tableColumn id="49" xr3:uid="{00000000-0010-0000-0700-000031000000}" name="Rango 2022" dataDxfId="464" totalsRowDxfId="463"/>
    <tableColumn id="50" xr3:uid="{00000000-0010-0000-0700-000032000000}" name="Observacion 2022" dataDxfId="462" totalsRowDxfId="461"/>
    <tableColumn id="51" xr3:uid="{00000000-0010-0000-0700-000033000000}" name="Programado 2023" dataDxfId="460" totalsRowDxfId="459"/>
    <tableColumn id="52" xr3:uid="{00000000-0010-0000-0700-000034000000}" name="Ejecutado 2023" dataDxfId="458" totalsRowDxfId="457"/>
    <tableColumn id="53" xr3:uid="{00000000-0010-0000-0700-000035000000}" name="% Avance 2023" totalsRowFunction="custom" dataDxfId="456" totalsRowDxfId="455">
      <totalsRowFormula>SUBTOTAL(109,ReporteAvancePlanIndicativo311[% Avance 2023])/19</totalsRowFormula>
    </tableColumn>
    <tableColumn id="54" xr3:uid="{00000000-0010-0000-0700-000036000000}" name="Rango 2023" dataDxfId="454" totalsRowDxfId="453"/>
    <tableColumn id="55" xr3:uid="{00000000-0010-0000-0700-000037000000}" name="Observacion 2023" dataDxfId="452" totalsRowDxfId="45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34132A6-905E-43AC-95AF-A87E45EFF7CC}" name="ReporteAvancePlanIndicativo31225" displayName="ReporteAvancePlanIndicativo31225" ref="A1:W12" totalsRowCount="1" headerRowDxfId="450" dataDxfId="449">
  <autoFilter ref="A1:W11" xr:uid="{934132A6-905E-43AC-95AF-A87E45EFF7CC}"/>
  <tableColumns count="23">
    <tableColumn id="21" xr3:uid="{E48B7D82-C4F2-4C66-A8E1-B70EB52F4EEA}" name="Producto" dataDxfId="448" totalsRowDxfId="447"/>
    <tableColumn id="25" xr3:uid="{53626C75-5C89-4BDC-A365-99215728E001}" name="Indicador Producto" dataDxfId="446" totalsRowDxfId="445"/>
    <tableColumn id="28" xr3:uid="{B74FD422-1047-4483-8557-8647D2291389}" name="Meta Cuatrienio" dataDxfId="444" totalsRowDxfId="443"/>
    <tableColumn id="36" xr3:uid="{C2B99FAB-3622-48F5-8C6C-61DCC0ED9D7B}" name="Programado 2020" dataDxfId="442" totalsRowDxfId="441"/>
    <tableColumn id="37" xr3:uid="{0FCBC76D-5603-4695-88EC-AD232C449630}" name="Ejecutado 2020" dataDxfId="440" totalsRowDxfId="439"/>
    <tableColumn id="38" xr3:uid="{A1F85400-03BD-408C-A20B-B1A2F164FFEB}" name="% Avance 2020" totalsRowFunction="custom" dataDxfId="438" totalsRowDxfId="437">
      <totalsRowFormula>SUBTOTAL(109,ReporteAvancePlanIndicativo31225[% Avance 2020])/6</totalsRowFormula>
    </tableColumn>
    <tableColumn id="39" xr3:uid="{2CDEC3F5-A210-4840-BBD1-EDF28B2E248B}" name="Rango 2020" dataDxfId="436" totalsRowDxfId="435"/>
    <tableColumn id="40" xr3:uid="{5716BED3-C133-42C5-A5FF-107CB8365416}" name="Observacion 2020" dataDxfId="434" totalsRowDxfId="433"/>
    <tableColumn id="41" xr3:uid="{7BAAAC7B-BFED-41EE-A0EA-F58CCEFB3271}" name="Programado 2021" dataDxfId="432" totalsRowDxfId="431"/>
    <tableColumn id="42" xr3:uid="{A2A1A36C-75F4-4D49-95E9-D58EB9FE5EE1}" name="Ejecutado 2021" dataDxfId="430" totalsRowDxfId="429"/>
    <tableColumn id="43" xr3:uid="{CFACB888-FBDE-4400-A28C-9962FC413E54}" name="% Avance 2021" totalsRowFunction="custom" dataDxfId="428" totalsRowDxfId="427">
      <totalsRowFormula>SUBTOTAL(109,ReporteAvancePlanIndicativo31225[% Avance 2021])/7</totalsRowFormula>
    </tableColumn>
    <tableColumn id="44" xr3:uid="{EB0CEBF7-3F43-4605-862A-8A4504532C33}" name="Rango 2021" dataDxfId="426" totalsRowDxfId="425"/>
    <tableColumn id="45" xr3:uid="{CD30D42C-3605-4389-AD24-C86ADECAC0D3}" name="Observacion 2021" dataDxfId="424" totalsRowDxfId="423"/>
    <tableColumn id="46" xr3:uid="{3745A4BF-23E3-4163-9094-CDFBA75A0433}" name="Programado 2022" dataDxfId="422" totalsRowDxfId="421"/>
    <tableColumn id="47" xr3:uid="{982AF110-51C0-4720-A347-A94EDC1C1FAF}" name="Ejecutado 2022" dataDxfId="420" totalsRowDxfId="419"/>
    <tableColumn id="48" xr3:uid="{454FDAC1-0B35-4E55-B0F3-B44912AF6ABB}" name="% Avance 2022" totalsRowFunction="custom" dataDxfId="418" totalsRowDxfId="417">
      <totalsRowFormula>SUBTOTAL(109,ReporteAvancePlanIndicativo31225[% Avance 2022])/8</totalsRowFormula>
    </tableColumn>
    <tableColumn id="49" xr3:uid="{35F67558-C910-446E-9AE0-E51AC0A75695}" name="Rango 2022" dataDxfId="416" totalsRowDxfId="415"/>
    <tableColumn id="50" xr3:uid="{9E77711E-0F2F-4268-A6DD-6238B52DA8DB}" name="Observacion 2022" dataDxfId="414" totalsRowDxfId="413"/>
    <tableColumn id="51" xr3:uid="{1DEEBB32-5727-482F-96DB-2CC3C628BD47}" name="Programado 2023" dataDxfId="412" totalsRowDxfId="411"/>
    <tableColumn id="52" xr3:uid="{892BB5BC-421F-4A3F-925F-3A23B0F5CA3B}" name="Ejecutado 2023" dataDxfId="410" totalsRowDxfId="409"/>
    <tableColumn id="53" xr3:uid="{75582BEC-B2F3-4999-96B5-473EDCA63A2E}" name="% Avance 2023" totalsRowFunction="custom" dataDxfId="408" totalsRowDxfId="407">
      <totalsRowFormula>SUBTOTAL(109,ReporteAvancePlanIndicativo31225[% Avance 2023])/7</totalsRowFormula>
    </tableColumn>
    <tableColumn id="54" xr3:uid="{33E2D934-221B-487C-A023-FB788AA18CFA}" name="Rango 2023" dataDxfId="406" totalsRowDxfId="405"/>
    <tableColumn id="55" xr3:uid="{C4CCC954-12C9-4EAE-B593-DD2375BE7825}" name="Observacion 2023" dataDxfId="404" totalsRowDxfId="40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ReporteAvancePlanIndicativo312" displayName="ReporteAvancePlanIndicativo312" ref="A1:M12" totalsRowCount="1" headerRowDxfId="402" dataDxfId="401">
  <tableColumns count="13">
    <tableColumn id="21" xr3:uid="{00000000-0010-0000-0600-000015000000}" name="Producto" dataDxfId="400" totalsRowDxfId="399"/>
    <tableColumn id="25" xr3:uid="{00000000-0010-0000-0600-000019000000}" name="Indicador Producto" dataDxfId="398" totalsRowDxfId="397"/>
    <tableColumn id="28" xr3:uid="{00000000-0010-0000-0600-00001C000000}" name="Meta Cuatrienio" dataDxfId="396" totalsRowDxfId="395"/>
    <tableColumn id="36" xr3:uid="{00000000-0010-0000-0600-000024000000}" name="Programado 2020" dataDxfId="394" totalsRowDxfId="393"/>
    <tableColumn id="37" xr3:uid="{00000000-0010-0000-0600-000025000000}" name="Ejecutado 2020" dataDxfId="392" totalsRowDxfId="391"/>
    <tableColumn id="41" xr3:uid="{00000000-0010-0000-0600-000029000000}" name="Programado 2021" dataDxfId="390" totalsRowDxfId="389"/>
    <tableColumn id="42" xr3:uid="{00000000-0010-0000-0600-00002A000000}" name="Ejecutado 2021" dataDxfId="388" totalsRowDxfId="387"/>
    <tableColumn id="46" xr3:uid="{00000000-0010-0000-0600-00002E000000}" name="Programado 2022" dataDxfId="386" totalsRowDxfId="385"/>
    <tableColumn id="47" xr3:uid="{00000000-0010-0000-0600-00002F000000}" name="Ejecutado 2022" dataDxfId="384" totalsRowDxfId="383"/>
    <tableColumn id="51" xr3:uid="{00000000-0010-0000-0600-000033000000}" name="Programado 2023" dataDxfId="382" totalsRowDxfId="381"/>
    <tableColumn id="52" xr3:uid="{00000000-0010-0000-0600-000034000000}" name="Ejecutado 2023" dataDxfId="380" totalsRowDxfId="379"/>
    <tableColumn id="1" xr3:uid="{637E1F55-5A75-450D-B6A8-80CFAFC65743}" name="Consolidado 2020 - 2023*" totalsRowFunction="custom" dataDxfId="378" totalsRowDxfId="377">
      <totalsRowFormula>SUBTOTAL(109,ReporteAvancePlanIndicativo312[Consolidado 2020 - 2023*])/10</totalsRowFormula>
    </tableColumn>
    <tableColumn id="2" xr3:uid="{25D93B08-CCF2-4447-9FA4-CBB719E63641}" name="Alertas" dataDxfId="17" totalsRowDxfId="1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F8D6E8F-0EB6-48D6-89F4-B99672E40A25}" name="ReporteAvancePlanIndicativo31326" displayName="ReporteAvancePlanIndicativo31326" ref="A1:W18" totalsRowCount="1" headerRowDxfId="376" dataDxfId="375">
  <autoFilter ref="A1:W17" xr:uid="{FF8D6E8F-0EB6-48D6-89F4-B99672E40A25}"/>
  <tableColumns count="23">
    <tableColumn id="21" xr3:uid="{6F5E1DCB-AC7C-4F55-8C3B-EE93846D6C69}" name="Producto" dataDxfId="374" totalsRowDxfId="373"/>
    <tableColumn id="25" xr3:uid="{A2646D8E-64CB-4724-90CB-ECB6DE13818E}" name="Indicador Producto" dataDxfId="372" totalsRowDxfId="371"/>
    <tableColumn id="28" xr3:uid="{19D3B637-FBC3-4445-9DF6-57BD106E963D}" name="Meta Cuatrienio" dataDxfId="370" totalsRowDxfId="369"/>
    <tableColumn id="36" xr3:uid="{FB933CC6-F707-44BA-B492-07E98A0AC082}" name="Programado 2020" dataDxfId="368" totalsRowDxfId="367"/>
    <tableColumn id="37" xr3:uid="{E1BDBF8B-A447-44D7-BF58-E8F2392E1872}" name="Ejecutado 2020" dataDxfId="366" totalsRowDxfId="365"/>
    <tableColumn id="38" xr3:uid="{5BBDAF95-B1BD-4988-8995-D565D225F21D}" name="% Avance 2020" totalsRowFunction="custom" dataDxfId="364" totalsRowDxfId="363">
      <totalsRowFormula>SUBTOTAL(109,ReporteAvancePlanIndicativo31326[% Avance 2020])/11</totalsRowFormula>
    </tableColumn>
    <tableColumn id="39" xr3:uid="{CF3CB2E2-6D23-4444-9B9D-B7439818986D}" name="Rango 2020" dataDxfId="362" totalsRowDxfId="361"/>
    <tableColumn id="40" xr3:uid="{A4864C44-10E9-4310-9C87-32BD6A837BFD}" name="Observacion 2020" dataDxfId="360" totalsRowDxfId="359"/>
    <tableColumn id="41" xr3:uid="{707ACECA-FDF0-468C-B778-16450ACF79A2}" name="Programado 2021" dataDxfId="358" totalsRowDxfId="357"/>
    <tableColumn id="42" xr3:uid="{099DBBD0-8C41-45E0-8B73-F1C7A106097A}" name="Ejecutado 2021" dataDxfId="356" totalsRowDxfId="355"/>
    <tableColumn id="43" xr3:uid="{E6E66A32-FFD4-4C08-AA8E-4722BEB0F07B}" name="% Avance 2021" totalsRowFunction="custom" dataDxfId="354" totalsRowDxfId="353">
      <totalsRowFormula>SUBTOTAL(109,ReporteAvancePlanIndicativo31326[% Avance 2021])/16</totalsRowFormula>
    </tableColumn>
    <tableColumn id="44" xr3:uid="{EB80532D-6351-470A-A803-3470873D7052}" name="Rango 2021" dataDxfId="352" totalsRowDxfId="351"/>
    <tableColumn id="45" xr3:uid="{E4EBF993-A04C-4E57-8C12-B14D22267DD9}" name="Observacion 2021" dataDxfId="350" totalsRowDxfId="349"/>
    <tableColumn id="46" xr3:uid="{5E926D1C-4C66-4F5D-A86E-5156B0C164DB}" name="Programado 2022" dataDxfId="348" totalsRowDxfId="347"/>
    <tableColumn id="47" xr3:uid="{05085FA7-BE2F-4DA3-87AA-8A23DC10F822}" name="Ejecutado 2022" dataDxfId="346" totalsRowDxfId="345"/>
    <tableColumn id="48" xr3:uid="{4A6E577D-D528-4726-961C-2F4954B8F47B}" name="% Avance 2022" totalsRowFunction="custom" dataDxfId="344" totalsRowDxfId="343">
      <totalsRowFormula>SUBTOTAL(109,ReporteAvancePlanIndicativo31326[% Avance 2022])/16</totalsRowFormula>
    </tableColumn>
    <tableColumn id="49" xr3:uid="{3C7E5489-B11E-4580-A778-A5A23893E2F7}" name="Rango 2022" dataDxfId="342" totalsRowDxfId="341"/>
    <tableColumn id="50" xr3:uid="{F13E8389-D792-4A7D-8056-28C184FF2C12}" name="Observacion 2022" dataDxfId="340" totalsRowDxfId="339"/>
    <tableColumn id="51" xr3:uid="{E0BDE683-5225-4222-A2CE-6646992FF9F8}" name="Programado 2023" dataDxfId="338" totalsRowDxfId="337"/>
    <tableColumn id="52" xr3:uid="{EE2DA3D4-7259-4973-9C23-2D181BBC2199}" name="Ejecutado 2023" dataDxfId="336" totalsRowDxfId="335"/>
    <tableColumn id="53" xr3:uid="{2EE7DE41-58E0-4A7B-9E53-95D4F5689019}" name="% Avance 2023" totalsRowFunction="custom" dataDxfId="334" totalsRowDxfId="333">
      <totalsRowFormula>SUBTOTAL(109,ReporteAvancePlanIndicativo31326[% Avance 2023])/17</totalsRowFormula>
    </tableColumn>
    <tableColumn id="54" xr3:uid="{7A317F5E-9EE6-4CD0-8D14-D5C7CEC7D270}" name="Rango 2023" dataDxfId="332" totalsRowDxfId="331"/>
    <tableColumn id="55" xr3:uid="{4F8040A5-2533-43F1-82E1-64D5E175CEEC}" name="Observacion 2023" dataDxfId="330" totalsRowDxfId="3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ReporteAvancePlanIndicativo34" displayName="ReporteAvancePlanIndicativo34" ref="A1:M19" totalsRowCount="1" headerRowDxfId="982" dataDxfId="981">
  <tableColumns count="13">
    <tableColumn id="21" xr3:uid="{00000000-0010-0000-0E00-000015000000}" name="Producto" dataDxfId="980" totalsRowDxfId="979"/>
    <tableColumn id="25" xr3:uid="{00000000-0010-0000-0E00-000019000000}" name="Indicador Producto" dataDxfId="978" totalsRowDxfId="977"/>
    <tableColumn id="28" xr3:uid="{00000000-0010-0000-0E00-00001C000000}" name="Meta Cuatrienio" dataDxfId="976" totalsRowDxfId="975"/>
    <tableColumn id="36" xr3:uid="{00000000-0010-0000-0E00-000024000000}" name="Programado 2020" dataDxfId="974" totalsRowDxfId="973"/>
    <tableColumn id="37" xr3:uid="{00000000-0010-0000-0E00-000025000000}" name="Ejecutado 2020" dataDxfId="972" totalsRowDxfId="971"/>
    <tableColumn id="41" xr3:uid="{00000000-0010-0000-0E00-000029000000}" name="Programado 2021" dataDxfId="970" totalsRowDxfId="969"/>
    <tableColumn id="42" xr3:uid="{00000000-0010-0000-0E00-00002A000000}" name="Ejecutado 2021" dataDxfId="968" totalsRowDxfId="967"/>
    <tableColumn id="46" xr3:uid="{00000000-0010-0000-0E00-00002E000000}" name="Programado 2022" dataDxfId="966" totalsRowDxfId="965"/>
    <tableColumn id="47" xr3:uid="{00000000-0010-0000-0E00-00002F000000}" name="Ejecutado 2022" dataDxfId="964" totalsRowDxfId="963"/>
    <tableColumn id="51" xr3:uid="{00000000-0010-0000-0E00-000033000000}" name="Programado 2023" dataDxfId="962" totalsRowDxfId="961"/>
    <tableColumn id="52" xr3:uid="{00000000-0010-0000-0E00-000034000000}" name="Ejecutado 2023" dataDxfId="960" totalsRowDxfId="959"/>
    <tableColumn id="1" xr3:uid="{B9C72D31-52B9-4EBD-AC6A-3FA63D65A53B}" name="Consolidado %" totalsRowFunction="custom" dataDxfId="958" totalsRowDxfId="957">
      <totalsRowFormula>SUBTOTAL(109,ReporteAvancePlanIndicativo34[Consolidado %])/16</totalsRowFormula>
    </tableColumn>
    <tableColumn id="2" xr3:uid="{7B515CF6-C948-4561-9198-C47E8E5A9030}" name="Alertas" dataDxfId="45" totalsRowDxfId="4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ReporteAvancePlanIndicativo313" displayName="ReporteAvancePlanIndicativo313" ref="A1:M18" totalsRowCount="1" headerRowDxfId="328" dataDxfId="327">
  <tableColumns count="13">
    <tableColumn id="21" xr3:uid="{00000000-0010-0000-0500-000015000000}" name="Producto" dataDxfId="326" totalsRowDxfId="325"/>
    <tableColumn id="25" xr3:uid="{00000000-0010-0000-0500-000019000000}" name="Indicador Producto" dataDxfId="324" totalsRowDxfId="323"/>
    <tableColumn id="28" xr3:uid="{00000000-0010-0000-0500-00001C000000}" name="Meta Cuatrienio" dataDxfId="322" totalsRowDxfId="321"/>
    <tableColumn id="36" xr3:uid="{00000000-0010-0000-0500-000024000000}" name="Programado 2020" dataDxfId="320" totalsRowDxfId="319"/>
    <tableColumn id="37" xr3:uid="{00000000-0010-0000-0500-000025000000}" name="Ejecutado 2020" dataDxfId="318" totalsRowDxfId="317"/>
    <tableColumn id="41" xr3:uid="{00000000-0010-0000-0500-000029000000}" name="Programado 2021" dataDxfId="316" totalsRowDxfId="315"/>
    <tableColumn id="42" xr3:uid="{00000000-0010-0000-0500-00002A000000}" name="Ejecutado 2021" dataDxfId="314" totalsRowDxfId="313"/>
    <tableColumn id="46" xr3:uid="{00000000-0010-0000-0500-00002E000000}" name="Programado 2022" dataDxfId="312" totalsRowDxfId="311"/>
    <tableColumn id="47" xr3:uid="{00000000-0010-0000-0500-00002F000000}" name="Ejecutado 2022" dataDxfId="310" totalsRowDxfId="309"/>
    <tableColumn id="51" xr3:uid="{00000000-0010-0000-0500-000033000000}" name="Programado 2023" dataDxfId="308" totalsRowDxfId="307"/>
    <tableColumn id="52" xr3:uid="{00000000-0010-0000-0500-000034000000}" name="Ejecutado 2023" dataDxfId="306" totalsRowDxfId="305"/>
    <tableColumn id="1" xr3:uid="{E8449F46-9919-4226-A6CF-EAD937011174}" name="Consolidado 2020 - 2023*" totalsRowFunction="custom" dataDxfId="304" totalsRowDxfId="303">
      <totalsRowFormula>SUBTOTAL(109,ReporteAvancePlanIndicativo313[Consolidado 2020 - 2023*])/16</totalsRowFormula>
    </tableColumn>
    <tableColumn id="2" xr3:uid="{E6DD1B5D-6AE1-4841-980D-6FE917387C90}" name="Alertas" dataDxfId="15" totalsRowDxfId="14"/>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03EAD03-3440-40B4-A939-E2022C569F44}" name="ReporteAvancePlanIndicativo31427" displayName="ReporteAvancePlanIndicativo31427" ref="A1:W17" totalsRowCount="1" headerRowDxfId="302" dataDxfId="301">
  <autoFilter ref="A1:W16" xr:uid="{803EAD03-3440-40B4-A939-E2022C569F44}"/>
  <tableColumns count="23">
    <tableColumn id="21" xr3:uid="{E836CE93-531F-4C92-9CDF-C88FC7A7346E}" name="Producto" dataDxfId="300" totalsRowDxfId="299"/>
    <tableColumn id="25" xr3:uid="{7C2DE43A-635B-4580-9302-B4D583E658A8}" name="Indicador Producto" dataDxfId="298" totalsRowDxfId="297"/>
    <tableColumn id="28" xr3:uid="{0672A0D5-82BB-4153-8AE6-A7FB679C7B26}" name="Meta Cuatrienio" dataDxfId="296" totalsRowDxfId="295"/>
    <tableColumn id="36" xr3:uid="{6DE488DE-E7EF-4989-A3F8-8B9C06711B8D}" name="Programado 2020" dataDxfId="294" totalsRowDxfId="293"/>
    <tableColumn id="37" xr3:uid="{6206C6C0-39E8-4574-8F46-EA1CF73C5F8F}" name="Ejecutado 2020" dataDxfId="292" totalsRowDxfId="291"/>
    <tableColumn id="38" xr3:uid="{E1B6172A-EA7D-439F-87B9-4531083228FB}" name="% Avance 2020" totalsRowFunction="custom" dataDxfId="290" totalsRowDxfId="289">
      <totalsRowFormula>SUBTOTAL(109,ReporteAvancePlanIndicativo31427[% Avance 2020])/14</totalsRowFormula>
    </tableColumn>
    <tableColumn id="39" xr3:uid="{B88E881F-7259-4C20-B0F7-4DB41BA759BC}" name="Rango 2020" dataDxfId="288" totalsRowDxfId="287"/>
    <tableColumn id="40" xr3:uid="{5EB69984-AA8A-47D6-A0EF-7912E43A0654}" name="Observacion 2020" dataDxfId="286" totalsRowDxfId="285"/>
    <tableColumn id="41" xr3:uid="{2BE3D57B-DA44-4BDE-85DC-BF7107E58B81}" name="Programado 2021" dataDxfId="284" totalsRowDxfId="283"/>
    <tableColumn id="42" xr3:uid="{AE9AFACB-2EB4-4DD5-B1FF-5BFE36F9DDFE}" name="Ejecutado 2021" dataDxfId="282" totalsRowDxfId="281"/>
    <tableColumn id="43" xr3:uid="{6D66178A-106B-496F-AD5C-55F9BCE4AF52}" name="% Avance 2021" totalsRowFunction="custom" dataDxfId="280" totalsRowDxfId="279">
      <totalsRowFormula>SUBTOTAL(109,ReporteAvancePlanIndicativo31427[% Avance 2021])/15</totalsRowFormula>
    </tableColumn>
    <tableColumn id="44" xr3:uid="{D9126B9C-05F5-4548-A476-DC377452CF07}" name="Rango 2021" dataDxfId="278" totalsRowDxfId="277"/>
    <tableColumn id="45" xr3:uid="{11A34777-F68E-4A45-8F08-65E78FB01694}" name="Observacion 2021" dataDxfId="276" totalsRowDxfId="275"/>
    <tableColumn id="46" xr3:uid="{E4955DC7-4992-4050-A576-8A6D640A44B8}" name="Programado 2022" dataDxfId="274" totalsRowDxfId="273"/>
    <tableColumn id="47" xr3:uid="{14E81C50-C74F-49B8-A5D2-F6A439C127C2}" name="Ejecutado 2022" dataDxfId="272" totalsRowDxfId="271"/>
    <tableColumn id="48" xr3:uid="{A494E9AC-EEFA-4633-A3AC-F5AFF9D79A31}" name="% Avance 2022" totalsRowFunction="custom" dataDxfId="270" totalsRowDxfId="269">
      <totalsRowFormula>SUBTOTAL(109,ReporteAvancePlanIndicativo31427[% Avance 2022])/15</totalsRowFormula>
    </tableColumn>
    <tableColumn id="49" xr3:uid="{82EE8C19-4C8A-404B-B38B-75CA24A49DF9}" name="Rango 2022" dataDxfId="268" totalsRowDxfId="267"/>
    <tableColumn id="50" xr3:uid="{3A3DCCB4-6C3C-45E5-AE79-71CE60675D9D}" name="Observacion 2022" dataDxfId="266" totalsRowDxfId="265"/>
    <tableColumn id="51" xr3:uid="{BA39F8B4-E69C-4B28-9260-594B9A149367}" name="Programado 2023" dataDxfId="264" totalsRowDxfId="263"/>
    <tableColumn id="52" xr3:uid="{012BB595-9791-40BC-8E14-7210DEC4302B}" name="Ejecutado 2023" dataDxfId="262" totalsRowDxfId="261"/>
    <tableColumn id="53" xr3:uid="{A35A3CD1-6165-4F19-993F-AE6364661BC5}" name="% Avance 2023" totalsRowFunction="custom" dataDxfId="260" totalsRowDxfId="259">
      <totalsRowFormula>SUBTOTAL(109,ReporteAvancePlanIndicativo31427[% Avance 2023])/15</totalsRowFormula>
    </tableColumn>
    <tableColumn id="54" xr3:uid="{90D9D26E-40DB-4364-B7A6-E304EDC1826E}" name="Rango 2023" dataDxfId="258" totalsRowDxfId="257"/>
    <tableColumn id="55" xr3:uid="{C0A29F3E-2B74-4E54-A8CB-BA46EF200BD1}" name="Observacion 2023" dataDxfId="256" totalsRowDxfId="25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ReporteAvancePlanIndicativo314" displayName="ReporteAvancePlanIndicativo314" ref="A1:M17" totalsRowCount="1" headerRowDxfId="254" dataDxfId="253">
  <tableColumns count="13">
    <tableColumn id="21" xr3:uid="{00000000-0010-0000-0400-000015000000}" name="Producto" dataDxfId="252" totalsRowDxfId="251"/>
    <tableColumn id="25" xr3:uid="{00000000-0010-0000-0400-000019000000}" name="Indicador Producto" dataDxfId="250" totalsRowDxfId="249"/>
    <tableColumn id="28" xr3:uid="{00000000-0010-0000-0400-00001C000000}" name="Meta Cuatrienio" dataDxfId="248" totalsRowDxfId="247"/>
    <tableColumn id="36" xr3:uid="{00000000-0010-0000-0400-000024000000}" name="Programado 2020" dataDxfId="246" totalsRowDxfId="245"/>
    <tableColumn id="37" xr3:uid="{00000000-0010-0000-0400-000025000000}" name="Ejecutado 2020" dataDxfId="244" totalsRowDxfId="243"/>
    <tableColumn id="41" xr3:uid="{00000000-0010-0000-0400-000029000000}" name="Programado 2021" dataDxfId="242" totalsRowDxfId="241"/>
    <tableColumn id="42" xr3:uid="{00000000-0010-0000-0400-00002A000000}" name="Ejecutado 2021" dataDxfId="240" totalsRowDxfId="239"/>
    <tableColumn id="46" xr3:uid="{00000000-0010-0000-0400-00002E000000}" name="Programado 2022" dataDxfId="238" totalsRowDxfId="237"/>
    <tableColumn id="47" xr3:uid="{00000000-0010-0000-0400-00002F000000}" name="Ejecutado 2022" dataDxfId="236" totalsRowDxfId="235"/>
    <tableColumn id="51" xr3:uid="{00000000-0010-0000-0400-000033000000}" name="Programado 2023" dataDxfId="234" totalsRowDxfId="233"/>
    <tableColumn id="52" xr3:uid="{00000000-0010-0000-0400-000034000000}" name="Ejecutado 2023" dataDxfId="232" totalsRowDxfId="231"/>
    <tableColumn id="1" xr3:uid="{218BBDD8-E535-482C-905C-BA69AFC2AA23}" name="Consolidado 2020 - 2023" totalsRowFunction="custom" dataDxfId="230" totalsRowDxfId="229">
      <totalsRowFormula>SUBTOTAL(109,ReporteAvancePlanIndicativo314[Consolidado 2020 - 2023])/15</totalsRowFormula>
    </tableColumn>
    <tableColumn id="2" xr3:uid="{B57AF152-A5E4-4458-99B6-387AD0F89C97}" name="Alertas" dataDxfId="13" totalsRowDxfId="1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768EE4D-3497-42D9-8789-77F8431C774C}" name="ReporteAvancePlanIndicativo3141828" displayName="ReporteAvancePlanIndicativo3141828" ref="A1:W11" totalsRowCount="1" headerRowDxfId="228" dataDxfId="227">
  <autoFilter ref="A1:W10" xr:uid="{7768EE4D-3497-42D9-8789-77F8431C774C}"/>
  <tableColumns count="23">
    <tableColumn id="21" xr3:uid="{34ECB272-0FE3-43AE-A3B5-E75E2F69EDB0}" name="Producto" dataDxfId="226" totalsRowDxfId="225"/>
    <tableColumn id="25" xr3:uid="{57F236E5-69C4-4B96-84BD-4F94A2228D94}" name="Indicador Producto" dataDxfId="224" totalsRowDxfId="223"/>
    <tableColumn id="28" xr3:uid="{63ED82AC-853C-4D5E-BB1D-5B209152ABBA}" name="Meta Cuatrienio" dataDxfId="222" totalsRowDxfId="221"/>
    <tableColumn id="36" xr3:uid="{E99C1A9F-1AEC-416F-8EA5-5A8E4DF13889}" name="Programado 2020" dataDxfId="220" totalsRowDxfId="219"/>
    <tableColumn id="37" xr3:uid="{09CE660A-7D8B-445D-8D62-945519907A0E}" name="Ejecutado 2020" dataDxfId="218" totalsRowDxfId="217"/>
    <tableColumn id="38" xr3:uid="{2EB7F718-D4C3-482F-BA81-87BA41BA1887}" name="% Avance 2020" totalsRowFunction="custom" dataDxfId="216" totalsRowDxfId="215">
      <totalsRowFormula>SUBTOTAL(109,ReporteAvancePlanIndicativo3141828[% Avance 2020])/6</totalsRowFormula>
    </tableColumn>
    <tableColumn id="39" xr3:uid="{A2E7705A-4884-4373-BACB-792ABAF613EC}" name="Rango 2020" dataDxfId="214" totalsRowDxfId="213"/>
    <tableColumn id="40" xr3:uid="{71410DBD-74ED-4505-9492-738356440AA1}" name="Observacion 2020" dataDxfId="212" totalsRowDxfId="211"/>
    <tableColumn id="41" xr3:uid="{3FA86378-6884-45C7-9F8C-8F79C1B41E1D}" name="Programado 2021" dataDxfId="210" totalsRowDxfId="209"/>
    <tableColumn id="42" xr3:uid="{28DA5F42-C79D-4BE0-A9FD-B6CE9EC2B08C}" name="Ejecutado 2021" dataDxfId="208" totalsRowDxfId="207"/>
    <tableColumn id="43" xr3:uid="{AE6E1859-5127-4C9A-883D-7D0B3F5735CA}" name="% Avance 2021" totalsRowFunction="custom" dataDxfId="206" totalsRowDxfId="205">
      <totalsRowFormula>SUBTOTAL(109,ReporteAvancePlanIndicativo3141828[% Avance 2021])/6</totalsRowFormula>
    </tableColumn>
    <tableColumn id="44" xr3:uid="{2C28F2FA-FF54-48E4-90A3-DA0B0896EA97}" name="Rango 2021" dataDxfId="204" totalsRowDxfId="203"/>
    <tableColumn id="45" xr3:uid="{E4935FF9-C245-4E0B-AD6C-EE51FF8C17D7}" name="Observacion 2021" dataDxfId="202" totalsRowDxfId="201"/>
    <tableColumn id="46" xr3:uid="{DE36A405-97C2-4B7D-86EC-B9B23A1FECA1}" name="Programado 2022" dataDxfId="200" totalsRowDxfId="199"/>
    <tableColumn id="47" xr3:uid="{E4D15110-B21C-4F77-8D52-DA32195C3E4D}" name="Ejecutado 2022" dataDxfId="198" totalsRowDxfId="197"/>
    <tableColumn id="48" xr3:uid="{52E62459-6060-450D-96D9-8F522288B752}" name="% Avance 2022" totalsRowFunction="custom" dataDxfId="196" totalsRowDxfId="195">
      <totalsRowFormula>SUBTOTAL(109,ReporteAvancePlanIndicativo3141828[% Avance 2022])/8</totalsRowFormula>
    </tableColumn>
    <tableColumn id="49" xr3:uid="{903E6BE6-E6D1-43DB-9CDF-AA52A87485B8}" name="Rango 2022" dataDxfId="194" totalsRowDxfId="193"/>
    <tableColumn id="50" xr3:uid="{F208A007-70AC-458B-AD92-4FFB72AF49E0}" name="Observacion 2022" dataDxfId="192" totalsRowDxfId="191"/>
    <tableColumn id="51" xr3:uid="{8F6DADEE-3C1E-436E-85BE-AB1594F08616}" name="Programado 2023" dataDxfId="190" totalsRowDxfId="189"/>
    <tableColumn id="52" xr3:uid="{6DA4DCA7-FFF7-4026-958C-05D69BC2AA52}" name="Ejecutado 2023" dataDxfId="188" totalsRowDxfId="187"/>
    <tableColumn id="53" xr3:uid="{16A193AE-D36E-4E3E-8A60-F4990317EF34}" name="% Avance 2023" totalsRowFunction="custom" dataDxfId="186" totalsRowDxfId="185">
      <totalsRowFormula>SUBTOTAL(109,ReporteAvancePlanIndicativo3141828[% Avance 2023])/8</totalsRowFormula>
    </tableColumn>
    <tableColumn id="54" xr3:uid="{31540478-C4B3-40F6-8674-74F7C9190E53}" name="Rango 2023" dataDxfId="184" totalsRowDxfId="183"/>
    <tableColumn id="55" xr3:uid="{AF8FA04F-FD8D-40F6-8654-1161284807BC}" name="Observacion 2023" dataDxfId="182" totalsRowDxfId="18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ReporteAvancePlanIndicativo31418" displayName="ReporteAvancePlanIndicativo31418" ref="A1:M11" totalsRowCount="1" headerRowDxfId="180" dataDxfId="179">
  <tableColumns count="13">
    <tableColumn id="21" xr3:uid="{00000000-0010-0000-0300-000015000000}" name="Producto" dataDxfId="178" totalsRowDxfId="177"/>
    <tableColumn id="25" xr3:uid="{00000000-0010-0000-0300-000019000000}" name="Indicador Producto" dataDxfId="176" totalsRowDxfId="175"/>
    <tableColumn id="28" xr3:uid="{00000000-0010-0000-0300-00001C000000}" name="Meta Cuatrienio" dataDxfId="174" totalsRowDxfId="173"/>
    <tableColumn id="36" xr3:uid="{00000000-0010-0000-0300-000024000000}" name="Programado 2020" dataDxfId="172" totalsRowDxfId="171"/>
    <tableColumn id="37" xr3:uid="{00000000-0010-0000-0300-000025000000}" name="Ejecutado 2020" dataDxfId="170" totalsRowDxfId="169"/>
    <tableColumn id="41" xr3:uid="{00000000-0010-0000-0300-000029000000}" name="Programado 2021" dataDxfId="168" totalsRowDxfId="167"/>
    <tableColumn id="42" xr3:uid="{00000000-0010-0000-0300-00002A000000}" name="Ejecutado 2021" dataDxfId="166" totalsRowDxfId="165"/>
    <tableColumn id="46" xr3:uid="{00000000-0010-0000-0300-00002E000000}" name="Programado 2022" dataDxfId="164" totalsRowDxfId="163"/>
    <tableColumn id="47" xr3:uid="{00000000-0010-0000-0300-00002F000000}" name="Ejecutado 2022" dataDxfId="162" totalsRowDxfId="161"/>
    <tableColumn id="51" xr3:uid="{00000000-0010-0000-0300-000033000000}" name="Programado 2023" dataDxfId="160" totalsRowDxfId="159"/>
    <tableColumn id="52" xr3:uid="{00000000-0010-0000-0300-000034000000}" name="Ejecutado 2023" dataDxfId="158" totalsRowDxfId="157"/>
    <tableColumn id="1" xr3:uid="{6840EC04-F38C-4898-9239-CE4A0829CAC2}" name="Consolidado 2020 2023*" totalsRowFunction="custom" dataDxfId="156" totalsRowDxfId="155">
      <totalsRowFormula>SUBTOTAL(109,ReporteAvancePlanIndicativo31418[Consolidado 2020 2023*])/9</totalsRowFormula>
    </tableColumn>
    <tableColumn id="2" xr3:uid="{BFAC3EB7-2372-44A7-816E-AB2C397F0A16}" name="Alertas" dataDxfId="11" totalsRowDxfId="10"/>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6AED6C2-31B3-4E5E-84F8-42A7FE99D41E}" name="ReporteAvancePlanIndicativo31629" displayName="ReporteAvancePlanIndicativo31629" ref="A1:W8" totalsRowCount="1" headerRowDxfId="154" dataDxfId="153">
  <autoFilter ref="A1:W7" xr:uid="{36AED6C2-31B3-4E5E-84F8-42A7FE99D41E}"/>
  <tableColumns count="23">
    <tableColumn id="21" xr3:uid="{C76F8A5F-4E98-48A1-876F-FBA9DF27C7BF}" name="Producto" dataDxfId="152" totalsRowDxfId="151"/>
    <tableColumn id="25" xr3:uid="{22F377D4-4190-4F4B-BCD6-0DDAB4EF6D22}" name="Indicador Producto" dataDxfId="150" totalsRowDxfId="149"/>
    <tableColumn id="28" xr3:uid="{7812BE47-770F-46A6-A908-6401F821F781}" name="Meta Cuatrienio" dataDxfId="148" totalsRowDxfId="147"/>
    <tableColumn id="36" xr3:uid="{A3EBFDCB-EC5E-432F-AD49-B858432D1DF4}" name="Programado 2020" dataDxfId="146" totalsRowDxfId="145"/>
    <tableColumn id="37" xr3:uid="{E6C3E5BE-C45C-4C00-9209-983F7A8EE981}" name="Ejecutado 2020" dataDxfId="144" totalsRowDxfId="143"/>
    <tableColumn id="38" xr3:uid="{C3CCE803-0F68-4405-9C1F-7CC1A92CC785}" name="% Avance 2020" totalsRowFunction="custom" dataDxfId="142" totalsRowDxfId="141">
      <totalsRowFormula>SUBTOTAL(109,ReporteAvancePlanIndicativo31629[% Avance 2020])/4</totalsRowFormula>
    </tableColumn>
    <tableColumn id="39" xr3:uid="{E2FDBE59-C2FE-41F6-982E-F06BAD2CAD15}" name="Rango 2020" dataDxfId="140" totalsRowDxfId="139"/>
    <tableColumn id="40" xr3:uid="{60A8D4A7-B36B-4ACA-A20F-AD8C20EEF7F1}" name="Observacion 2020" dataDxfId="138" totalsRowDxfId="137"/>
    <tableColumn id="41" xr3:uid="{5D7D4821-17ED-455E-B586-477A2648B7D9}" name="Programado 2021" dataDxfId="136" totalsRowDxfId="135"/>
    <tableColumn id="42" xr3:uid="{5050C44D-3590-4322-A079-B3DCD8874434}" name="Ejecutado 2021" dataDxfId="134" totalsRowDxfId="133"/>
    <tableColumn id="43" xr3:uid="{F40BC266-C4A1-4A91-8327-60268804FB3C}" name="% Avance 2021" totalsRowFunction="custom" dataDxfId="132" totalsRowDxfId="131">
      <totalsRowFormula>SUBTOTAL(109,ReporteAvancePlanIndicativo31629[% Avance 2021])/6</totalsRowFormula>
    </tableColumn>
    <tableColumn id="44" xr3:uid="{32EA5BA9-BFE7-45C7-84FC-70934D50DAD3}" name="Rango 2021" dataDxfId="130" totalsRowDxfId="129"/>
    <tableColumn id="45" xr3:uid="{202D9B60-F754-4B50-934C-F19ECB624164}" name="Observacion 2021" dataDxfId="128" totalsRowDxfId="127"/>
    <tableColumn id="46" xr3:uid="{FD93404F-B1F4-48B4-847D-11730743DD14}" name="Programado 2022" dataDxfId="126" totalsRowDxfId="125"/>
    <tableColumn id="47" xr3:uid="{19566145-D676-4DFB-A0E9-4DB4C5850F67}" name="Ejecutado 2022" dataDxfId="124" totalsRowDxfId="123"/>
    <tableColumn id="48" xr3:uid="{D7F4EACF-B7B0-4208-8624-E373C87B03BF}" name="% Avance 2022" dataDxfId="122" totalsRowDxfId="121"/>
    <tableColumn id="49" xr3:uid="{EDEADC96-A700-483E-9423-55D92E542C6E}" name="Rango 2022" dataDxfId="120" totalsRowDxfId="119"/>
    <tableColumn id="50" xr3:uid="{A1548FD6-75AD-4551-A7D2-2E411F92A872}" name="Observacion 2022" dataDxfId="118" totalsRowDxfId="117"/>
    <tableColumn id="51" xr3:uid="{6AAD3BEA-35B5-45F5-9A1A-F8CDA1DF6CD5}" name="Programado 2023" dataDxfId="116" totalsRowDxfId="115"/>
    <tableColumn id="52" xr3:uid="{13EC063A-4B44-4EB4-A3DE-1A3D77682CFB}" name="Ejecutado 2023" dataDxfId="114" totalsRowDxfId="113"/>
    <tableColumn id="53" xr3:uid="{CDBE769F-F69E-4516-92A4-7156C899715E}" name="% Avance 2023" totalsRowFunction="custom" dataDxfId="112" totalsRowDxfId="111">
      <totalsRowFormula>SUBTOTAL(109,ReporteAvancePlanIndicativo31629[% Avance 2023])/5</totalsRowFormula>
    </tableColumn>
    <tableColumn id="54" xr3:uid="{1D8230F8-EEA6-4545-AA57-D255B70DF3BC}" name="Rango 2023" dataDxfId="110" totalsRowDxfId="109"/>
    <tableColumn id="55" xr3:uid="{EF2ADC19-3185-457C-9B8D-22FE122B3BFA}" name="Observacion 2023" dataDxfId="108" totalsRowDxfId="107"/>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ReporteAvancePlanIndicativo316" displayName="ReporteAvancePlanIndicativo316" ref="A1:M8" totalsRowCount="1" headerRowDxfId="106" dataDxfId="105">
  <tableColumns count="13">
    <tableColumn id="21" xr3:uid="{00000000-0010-0000-0200-000015000000}" name="Producto" dataDxfId="104" totalsRowDxfId="103"/>
    <tableColumn id="25" xr3:uid="{00000000-0010-0000-0200-000019000000}" name="Indicador Producto" dataDxfId="102" totalsRowDxfId="101"/>
    <tableColumn id="28" xr3:uid="{00000000-0010-0000-0200-00001C000000}" name="Meta Cuatrienio" dataDxfId="100" totalsRowDxfId="99"/>
    <tableColumn id="36" xr3:uid="{00000000-0010-0000-0200-000024000000}" name="Programado 2020" dataDxfId="98" totalsRowDxfId="97"/>
    <tableColumn id="37" xr3:uid="{00000000-0010-0000-0200-000025000000}" name="Ejecutado 2020" dataDxfId="96" totalsRowDxfId="95"/>
    <tableColumn id="41" xr3:uid="{00000000-0010-0000-0200-000029000000}" name="Programado 2021" dataDxfId="94" totalsRowDxfId="93"/>
    <tableColumn id="42" xr3:uid="{00000000-0010-0000-0200-00002A000000}" name="Ejecutado 2021" dataDxfId="92" totalsRowDxfId="91"/>
    <tableColumn id="46" xr3:uid="{00000000-0010-0000-0200-00002E000000}" name="Programado 2022" dataDxfId="90" totalsRowDxfId="89"/>
    <tableColumn id="47" xr3:uid="{00000000-0010-0000-0200-00002F000000}" name="Ejecutado 2022" dataDxfId="88" totalsRowDxfId="87"/>
    <tableColumn id="51" xr3:uid="{00000000-0010-0000-0200-000033000000}" name="Programado 2023" dataDxfId="86" totalsRowDxfId="85"/>
    <tableColumn id="52" xr3:uid="{00000000-0010-0000-0200-000034000000}" name="Ejecutado 2023" dataDxfId="84" totalsRowDxfId="83"/>
    <tableColumn id="1" xr3:uid="{8D8E8074-1D87-4AF2-8C68-FBEA3CE37582}" name="Consolidado 2020 - 2023" totalsRowFunction="custom" dataDxfId="82" totalsRowDxfId="81">
      <totalsRowFormula>SUBTOTAL(109,ReporteAvancePlanIndicativo316[Consolidado 2020 - 2023])/6</totalsRowFormula>
    </tableColumn>
    <tableColumn id="2" xr3:uid="{990F6B79-9759-41F1-BDD3-96DDD507F88B}" name="Alertas" dataDxfId="9" totalsRowDxfId="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ReporteAvancePlanIndicativo3141819" displayName="ReporteAvancePlanIndicativo3141819" ref="A1:M2" totalsRowShown="0" headerRowDxfId="7" dataDxfId="80">
  <tableColumns count="13">
    <tableColumn id="21" xr3:uid="{00000000-0010-0000-0100-000015000000}" name="Producto" dataDxfId="79"/>
    <tableColumn id="25" xr3:uid="{00000000-0010-0000-0100-000019000000}" name="Indicador Producto" dataDxfId="78"/>
    <tableColumn id="28" xr3:uid="{00000000-0010-0000-0100-00001C000000}" name="Meta Cuatrienio" dataDxfId="77"/>
    <tableColumn id="36" xr3:uid="{00000000-0010-0000-0100-000024000000}" name="Programado 2020" dataDxfId="76"/>
    <tableColumn id="37" xr3:uid="{00000000-0010-0000-0100-000025000000}" name="Ejecutado 2020" dataDxfId="75"/>
    <tableColumn id="41" xr3:uid="{00000000-0010-0000-0100-000029000000}" name="Programado 2021" dataDxfId="74"/>
    <tableColumn id="42" xr3:uid="{00000000-0010-0000-0100-00002A000000}" name="Ejecutado 2021" dataDxfId="73"/>
    <tableColumn id="46" xr3:uid="{00000000-0010-0000-0100-00002E000000}" name="Programado 2022" dataDxfId="72"/>
    <tableColumn id="47" xr3:uid="{00000000-0010-0000-0100-00002F000000}" name="Ejecutado 2022" dataDxfId="71"/>
    <tableColumn id="51" xr3:uid="{00000000-0010-0000-0100-000033000000}" name="Programado 2023" dataDxfId="70"/>
    <tableColumn id="52" xr3:uid="{00000000-0010-0000-0100-000034000000}" name="Ejecutado 2023" dataDxfId="69"/>
    <tableColumn id="1" xr3:uid="{00ECAEFD-2CCE-4AB8-BAA7-5D3C41725DEF}" name="Consolidado 2020 - 2023*" dataDxfId="6"/>
    <tableColumn id="2" xr3:uid="{A40E824A-21C2-46F8-A3FE-2B7FEE6F6ABB}" name="Alertas" dataDxfId="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0000000}" name="ReporteAvancePlanIndicativo3141820" displayName="ReporteAvancePlanIndicativo3141820" ref="A1:M6" totalsRowCount="1" headerRowDxfId="4" dataDxfId="68">
  <tableColumns count="13">
    <tableColumn id="21" xr3:uid="{00000000-0010-0000-0000-000015000000}" name="Producto" dataDxfId="67" totalsRowDxfId="66"/>
    <tableColumn id="25" xr3:uid="{00000000-0010-0000-0000-000019000000}" name="Indicador Producto" dataDxfId="65" totalsRowDxfId="64"/>
    <tableColumn id="28" xr3:uid="{00000000-0010-0000-0000-00001C000000}" name="Meta Cuatrienio" dataDxfId="63" totalsRowDxfId="62"/>
    <tableColumn id="36" xr3:uid="{00000000-0010-0000-0000-000024000000}" name="Programado 2020" dataDxfId="61" totalsRowDxfId="60"/>
    <tableColumn id="37" xr3:uid="{00000000-0010-0000-0000-000025000000}" name="Ejecutado 2020" dataDxfId="59" totalsRowDxfId="58"/>
    <tableColumn id="41" xr3:uid="{00000000-0010-0000-0000-000029000000}" name="Programado 2021" dataDxfId="57" totalsRowDxfId="56"/>
    <tableColumn id="42" xr3:uid="{00000000-0010-0000-0000-00002A000000}" name="Ejecutado 2021" dataDxfId="55" totalsRowDxfId="54"/>
    <tableColumn id="46" xr3:uid="{00000000-0010-0000-0000-00002E000000}" name="Programado 2022" dataDxfId="53" totalsRowDxfId="52"/>
    <tableColumn id="47" xr3:uid="{00000000-0010-0000-0000-00002F000000}" name="Ejecutado 2022" dataDxfId="51" totalsRowDxfId="50"/>
    <tableColumn id="51" xr3:uid="{00000000-0010-0000-0000-000033000000}" name="Programado 2023" dataDxfId="49" totalsRowDxfId="48"/>
    <tableColumn id="52" xr3:uid="{00000000-0010-0000-0000-000034000000}" name="Ejecutado 2023" dataDxfId="3" totalsRowDxfId="47"/>
    <tableColumn id="55" xr3:uid="{00000000-0010-0000-0000-000037000000}" name="Consolidado 2020 - 2023*" totalsRowLabel="90" dataDxfId="2" totalsRowDxfId="46"/>
    <tableColumn id="1" xr3:uid="{46B0ED82-6843-49D4-BF91-A78566E1A928}" name="Alertas" dataDxfId="1" totalsRow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A91EDD-7F69-4566-AB84-FADE9537D575}" name="ReporteAvancePlanIndicativo353" displayName="ReporteAvancePlanIndicativo353" ref="A1:W20" totalsRowCount="1" headerRowDxfId="956" dataDxfId="955">
  <tableColumns count="23">
    <tableColumn id="21" xr3:uid="{CE365574-B23C-47A3-8ADB-A5E34CC63E2C}" name="Producto" dataDxfId="954" totalsRowDxfId="953"/>
    <tableColumn id="25" xr3:uid="{21713133-15B6-414E-A338-8DBBBA20B4B9}" name="Indicador Producto" dataDxfId="952" totalsRowDxfId="951"/>
    <tableColumn id="28" xr3:uid="{302C4BA0-1C61-4FC3-AD48-29CCE62990A6}" name="Meta Cuatrienio" dataDxfId="950" totalsRowDxfId="949"/>
    <tableColumn id="36" xr3:uid="{9B539184-5CED-4B87-8CD2-A5ED71B05571}" name="Programado 2020" dataDxfId="948" totalsRowDxfId="947"/>
    <tableColumn id="37" xr3:uid="{18BE0EC9-0376-4E8C-9170-015A79EFF17C}" name="Ejecutado 2020" dataDxfId="946" totalsRowDxfId="945"/>
    <tableColumn id="38" xr3:uid="{B3CD510E-E6AF-4020-9D25-08BB737FF993}" name="% Avance 2020" totalsRowFunction="custom" dataDxfId="944" totalsRowDxfId="943">
      <totalsRowFormula>SUBTOTAL(109,ReporteAvancePlanIndicativo353[% Avance 2020])/16</totalsRowFormula>
    </tableColumn>
    <tableColumn id="39" xr3:uid="{A7D1E4B2-C4D9-4F49-B101-18F4DF783D3F}" name="Rango 2020" dataDxfId="942" totalsRowDxfId="941"/>
    <tableColumn id="40" xr3:uid="{E2F5879C-1D7E-432B-A21C-7D0C990C9D81}" name="Observacion 2020" dataDxfId="940" totalsRowDxfId="939"/>
    <tableColumn id="41" xr3:uid="{6A68F6C2-042E-4AAE-BB3C-ADEE15F96215}" name="Programado 2021" dataDxfId="938" totalsRowDxfId="937"/>
    <tableColumn id="42" xr3:uid="{725AAC9B-5CA6-4AED-B62B-22D243B994D9}" name="Ejecutado 2021" dataDxfId="936" totalsRowDxfId="935"/>
    <tableColumn id="43" xr3:uid="{9A3F4855-1B48-41D2-B2D7-17647390898D}" name="% Avance 2021" totalsRowFunction="custom" dataDxfId="934" totalsRowDxfId="933">
      <totalsRowFormula>SUBTOTAL(109,ReporteAvancePlanIndicativo353[% Avance 2021])/16</totalsRowFormula>
    </tableColumn>
    <tableColumn id="44" xr3:uid="{7F9E58BA-F0A7-472C-B0FF-0CF92A663ACF}" name="Rango 2021" dataDxfId="932" totalsRowDxfId="931"/>
    <tableColumn id="45" xr3:uid="{2E668932-2AFA-40B4-B177-56CA1F05269D}" name="Observacion 2021" dataDxfId="930" totalsRowDxfId="929"/>
    <tableColumn id="46" xr3:uid="{3307C591-8526-4D8F-8522-134F04EAAC9C}" name="Programado 2022" dataDxfId="928" totalsRowDxfId="927"/>
    <tableColumn id="47" xr3:uid="{208049FE-6069-4AC4-A1DA-B4929DED8C43}" name="Ejecutado 2022" dataDxfId="926" totalsRowDxfId="925"/>
    <tableColumn id="48" xr3:uid="{6BED08BC-E34D-47F6-AFA2-FC1BA6CF8331}" name="% Avance 2022" totalsRowFunction="custom" dataDxfId="924" totalsRowDxfId="923">
      <totalsRowFormula>SUBTOTAL(109,ReporteAvancePlanIndicativo353[% Avance 2022])/18</totalsRowFormula>
    </tableColumn>
    <tableColumn id="49" xr3:uid="{65935D20-932B-4BE8-ACCE-533BB7469C36}" name="Rango 2022" dataDxfId="922" totalsRowDxfId="921"/>
    <tableColumn id="50" xr3:uid="{BDF4921C-BDE5-45B7-AF31-5A9BA67E3BC7}" name="Observacion 2022" dataDxfId="920" totalsRowDxfId="919"/>
    <tableColumn id="51" xr3:uid="{86F595D2-094E-478A-8B82-E3802A66E60C}" name="Programado 2023" dataDxfId="918" totalsRowDxfId="917"/>
    <tableColumn id="52" xr3:uid="{9891C8F3-5AC8-42A6-93E7-50FF814BADE5}" name="Ejecutado 2023" dataDxfId="916" totalsRowDxfId="915"/>
    <tableColumn id="53" xr3:uid="{A819F07A-B269-4033-A00B-54412D73F386}" name="% Avance 2023" totalsRowFunction="custom" dataDxfId="914" totalsRowDxfId="913">
      <totalsRowFormula>SUBTOTAL(109,ReporteAvancePlanIndicativo353[% Avance 2023])/18</totalsRowFormula>
    </tableColumn>
    <tableColumn id="54" xr3:uid="{A0C77082-8651-48B0-AD86-27438B76263E}" name="Rango 2023" dataDxfId="912" totalsRowDxfId="911"/>
    <tableColumn id="55" xr3:uid="{4FE4C9BF-8EE8-4304-831F-616254DBDA6D}" name="Observacion 2023" dataDxfId="910" totalsRowDxfId="90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ReporteAvancePlanIndicativo35" displayName="ReporteAvancePlanIndicativo35" ref="A1:M20" totalsRowCount="1" headerRowDxfId="908" dataDxfId="907">
  <tableColumns count="13">
    <tableColumn id="21" xr3:uid="{00000000-0010-0000-0D00-000015000000}" name="Producto" dataDxfId="906" totalsRowDxfId="905"/>
    <tableColumn id="25" xr3:uid="{00000000-0010-0000-0D00-000019000000}" name="Indicador Producto" dataDxfId="904" totalsRowDxfId="903"/>
    <tableColumn id="28" xr3:uid="{00000000-0010-0000-0D00-00001C000000}" name="Meta Cuatrienio" dataDxfId="902" totalsRowDxfId="901"/>
    <tableColumn id="36" xr3:uid="{00000000-0010-0000-0D00-000024000000}" name="Programado 2020" dataDxfId="900" totalsRowDxfId="899"/>
    <tableColumn id="37" xr3:uid="{00000000-0010-0000-0D00-000025000000}" name="Ejecutado 2020" dataDxfId="898" totalsRowDxfId="897"/>
    <tableColumn id="41" xr3:uid="{00000000-0010-0000-0D00-000029000000}" name="Programado 2021" dataDxfId="896" totalsRowDxfId="895"/>
    <tableColumn id="42" xr3:uid="{00000000-0010-0000-0D00-00002A000000}" name="Ejecutado 2021" dataDxfId="894" totalsRowDxfId="893"/>
    <tableColumn id="46" xr3:uid="{00000000-0010-0000-0D00-00002E000000}" name="Programado 2022" dataDxfId="892" totalsRowDxfId="891"/>
    <tableColumn id="47" xr3:uid="{00000000-0010-0000-0D00-00002F000000}" name="Ejecutado 2022" dataDxfId="890" totalsRowDxfId="889"/>
    <tableColumn id="51" xr3:uid="{00000000-0010-0000-0D00-000033000000}" name="Programado 2023" dataDxfId="888" totalsRowDxfId="887"/>
    <tableColumn id="52" xr3:uid="{00000000-0010-0000-0D00-000034000000}" name="Ejecutado 2023" dataDxfId="886" totalsRowDxfId="885"/>
    <tableColumn id="1" xr3:uid="{CA9D7C28-D011-46D6-9822-70695AC7EAF6}" name="Consolidado 2020 - 2023" totalsRowFunction="custom" dataDxfId="884" totalsRowDxfId="883">
      <totalsRowFormula>SUBTOTAL(109,ReporteAvancePlanIndicativo35[Consolidado 2020 - 2023])/18</totalsRowFormula>
    </tableColumn>
    <tableColumn id="2" xr3:uid="{BF1C6698-9BC4-448A-9942-CFEB3CA8A240}" name="Alertas" dataDxfId="43" totalsRowDxfId="4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EC9CC79-0384-4DED-933B-0F590108AB21}" name="ReporteAvancePlanIndicativo3610" displayName="ReporteAvancePlanIndicativo3610" ref="A1:M16" totalsRowCount="1" headerRowDxfId="882" dataDxfId="881">
  <tableColumns count="13">
    <tableColumn id="21" xr3:uid="{B1254AAB-3609-4415-8644-7DB3FF69C065}" name="Producto" dataDxfId="880" totalsRowDxfId="879"/>
    <tableColumn id="25" xr3:uid="{48E94571-FE84-4E9C-ABA0-A6836AAC3CFA}" name="Indicador Producto" dataDxfId="878" totalsRowDxfId="877"/>
    <tableColumn id="28" xr3:uid="{B21F82D2-FF3D-4A09-AB50-8CBD4B77D214}" name="Meta Cuatrienio" dataDxfId="876" totalsRowDxfId="875"/>
    <tableColumn id="36" xr3:uid="{6BFE517A-A0EC-4C8A-90FC-4CC6DF5735F8}" name="Programado 2020" dataDxfId="874" totalsRowDxfId="873"/>
    <tableColumn id="37" xr3:uid="{EC1C7287-E159-4731-A7F2-ED4E40C1CE89}" name="Ejecutado 2020" dataDxfId="872" totalsRowDxfId="871"/>
    <tableColumn id="41" xr3:uid="{8F0AA716-E33D-4774-BE81-6A147E370D58}" name="Programado 2021" dataDxfId="870" totalsRowDxfId="869"/>
    <tableColumn id="42" xr3:uid="{18FAD22A-2754-427E-8FB5-1BEC977A62A8}" name="Ejecutado 2021" dataDxfId="868" totalsRowDxfId="867"/>
    <tableColumn id="46" xr3:uid="{3CFB3DD3-CC91-4DC2-99AC-91F2D0268420}" name="Programado 2022" dataDxfId="866" totalsRowDxfId="865"/>
    <tableColumn id="47" xr3:uid="{50F52920-D731-4DC0-B892-ACEC4F4F2B60}" name="Ejecutado 2022" dataDxfId="864" totalsRowDxfId="863"/>
    <tableColumn id="51" xr3:uid="{73531E8C-5414-479C-B72B-E6D5D0F6AE5E}" name="Programado 2023" dataDxfId="862" totalsRowDxfId="861"/>
    <tableColumn id="52" xr3:uid="{C28A856B-024A-4127-B591-A10E713F3FF9}" name="Ejecutado 2023" dataDxfId="860" totalsRowDxfId="859"/>
    <tableColumn id="1" xr3:uid="{F74DF7A7-F59A-4EC8-BA1E-D1D77E9A7D3E}" name="Consolidado 2020 - 2023*" totalsRowFunction="custom" dataDxfId="858" totalsRowDxfId="857">
      <totalsRowFormula>SUBTOTAL(109,ReporteAvancePlanIndicativo3610[Consolidado 2020 - 2023*])/14</totalsRowFormula>
    </tableColumn>
    <tableColumn id="2" xr3:uid="{7E59636A-1C5A-4397-80B1-29C2B0F70E8F}" name="Alertas" dataDxfId="41" totalsRowDxfId="4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ReporteAvancePlanIndicativo36" displayName="ReporteAvancePlanIndicativo36" ref="A1:W16" totalsRowCount="1" headerRowDxfId="856" dataDxfId="855">
  <autoFilter ref="A1:W15" xr:uid="{00000000-0009-0000-0100-000005000000}"/>
  <tableColumns count="23">
    <tableColumn id="21" xr3:uid="{00000000-0010-0000-0C00-000015000000}" name="Producto" dataDxfId="854" totalsRowDxfId="853"/>
    <tableColumn id="25" xr3:uid="{00000000-0010-0000-0C00-000019000000}" name="Indicador Producto" dataDxfId="852" totalsRowDxfId="851"/>
    <tableColumn id="28" xr3:uid="{00000000-0010-0000-0C00-00001C000000}" name="Meta Cuatrienio" dataDxfId="850" totalsRowDxfId="849"/>
    <tableColumn id="36" xr3:uid="{00000000-0010-0000-0C00-000024000000}" name="Programado 2020" dataDxfId="848" totalsRowDxfId="847"/>
    <tableColumn id="37" xr3:uid="{00000000-0010-0000-0C00-000025000000}" name="Ejecutado 2020" dataDxfId="846" totalsRowDxfId="845"/>
    <tableColumn id="38" xr3:uid="{00000000-0010-0000-0C00-000026000000}" name="% Avance 2020" totalsRowFunction="custom" dataDxfId="844" totalsRowDxfId="843">
      <totalsRowFormula>SUBTOTAL(109,ReporteAvancePlanIndicativo36[% Avance 2020])/12</totalsRowFormula>
    </tableColumn>
    <tableColumn id="39" xr3:uid="{00000000-0010-0000-0C00-000027000000}" name="Rango 2020" dataDxfId="842" totalsRowDxfId="841"/>
    <tableColumn id="40" xr3:uid="{00000000-0010-0000-0C00-000028000000}" name="Observacion 2020" dataDxfId="840" totalsRowDxfId="839"/>
    <tableColumn id="41" xr3:uid="{00000000-0010-0000-0C00-000029000000}" name="Programado 2021" dataDxfId="838" totalsRowDxfId="837"/>
    <tableColumn id="42" xr3:uid="{00000000-0010-0000-0C00-00002A000000}" name="Ejecutado 2021" dataDxfId="836" totalsRowDxfId="835"/>
    <tableColumn id="43" xr3:uid="{00000000-0010-0000-0C00-00002B000000}" name="% Avance 2021" totalsRowFunction="custom" dataDxfId="834" totalsRowDxfId="833">
      <totalsRowFormula>SUBTOTAL(109,ReporteAvancePlanIndicativo36[% Avance 2021])/14</totalsRowFormula>
    </tableColumn>
    <tableColumn id="44" xr3:uid="{00000000-0010-0000-0C00-00002C000000}" name="Rango 2021" dataDxfId="832" totalsRowDxfId="831"/>
    <tableColumn id="45" xr3:uid="{00000000-0010-0000-0C00-00002D000000}" name="Observacion 2021" dataDxfId="830" totalsRowDxfId="829"/>
    <tableColumn id="46" xr3:uid="{00000000-0010-0000-0C00-00002E000000}" name="Programado 2022" dataDxfId="828" totalsRowDxfId="827"/>
    <tableColumn id="47" xr3:uid="{00000000-0010-0000-0C00-00002F000000}" name="Ejecutado 2022" dataDxfId="826" totalsRowDxfId="825"/>
    <tableColumn id="48" xr3:uid="{00000000-0010-0000-0C00-000030000000}" name="% Avance 2022" totalsRowFunction="custom" dataDxfId="824" totalsRowDxfId="823">
      <totalsRowFormula>SUBTOTAL(109,ReporteAvancePlanIndicativo36[% Avance 2022])/12</totalsRowFormula>
    </tableColumn>
    <tableColumn id="49" xr3:uid="{00000000-0010-0000-0C00-000031000000}" name="Rango 2022" dataDxfId="822" totalsRowDxfId="821"/>
    <tableColumn id="50" xr3:uid="{00000000-0010-0000-0C00-000032000000}" name="Observacion 2022" dataDxfId="820" totalsRowDxfId="819"/>
    <tableColumn id="51" xr3:uid="{00000000-0010-0000-0C00-000033000000}" name="Programado 2023" dataDxfId="818" totalsRowDxfId="817"/>
    <tableColumn id="52" xr3:uid="{00000000-0010-0000-0C00-000034000000}" name="Ejecutado 2023" dataDxfId="816" totalsRowDxfId="815"/>
    <tableColumn id="53" xr3:uid="{00000000-0010-0000-0C00-000035000000}" name="% Avance 2023" totalsRowFunction="custom" dataDxfId="814" totalsRowDxfId="813">
      <totalsRowFormula>SUBTOTAL(109,ReporteAvancePlanIndicativo36[% Avance 2023])/14</totalsRowFormula>
    </tableColumn>
    <tableColumn id="54" xr3:uid="{00000000-0010-0000-0C00-000036000000}" name="Rango 2023" dataDxfId="812" totalsRowDxfId="811"/>
    <tableColumn id="55" xr3:uid="{00000000-0010-0000-0C00-000037000000}" name="Observacion 2023" dataDxfId="810" totalsRowDxfId="80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4FA9FB4-75D0-4E0B-A87F-32E2C4C5697D}" name="ReporteAvancePlanIndicativo3915" displayName="ReporteAvancePlanIndicativo3915" ref="A1:W12" totalsRowCount="1" headerRowDxfId="808" dataDxfId="807">
  <tableColumns count="23">
    <tableColumn id="21" xr3:uid="{A2E64E6A-D875-4417-B559-212EB820B418}" name="Producto" dataDxfId="806" totalsRowDxfId="805"/>
    <tableColumn id="25" xr3:uid="{090C98ED-9350-4331-BD51-EC33853CB5BF}" name="Indicador Producto" dataDxfId="804" totalsRowDxfId="803"/>
    <tableColumn id="28" xr3:uid="{1BD45450-CB6F-4956-A06E-A7BCE6BB5A8A}" name="Meta Cuatrienio" dataDxfId="802" totalsRowDxfId="801"/>
    <tableColumn id="36" xr3:uid="{B4E624C5-AF90-47CB-8BB6-074D36B4A915}" name="Programado 2020" dataDxfId="800" totalsRowDxfId="799"/>
    <tableColumn id="37" xr3:uid="{0DCF3D2E-3930-47EA-9A04-4C0915C9F5CD}" name="Ejecutado 2020" dataDxfId="798" totalsRowDxfId="797"/>
    <tableColumn id="38" xr3:uid="{EB556488-3A5B-41FB-9B14-38875BFB0A16}" name="% Avance 2020" totalsRowFunction="custom" dataDxfId="796" totalsRowDxfId="795">
      <totalsRowFormula>SUBTOTAL(109,ReporteAvancePlanIndicativo3915[% Avance 2020])/6</totalsRowFormula>
    </tableColumn>
    <tableColumn id="39" xr3:uid="{B4CC284F-127C-4D6D-B712-56A27FCCC915}" name="Rango 2020" dataDxfId="794" totalsRowDxfId="793"/>
    <tableColumn id="40" xr3:uid="{2B3130CA-579B-49AF-93D0-EE82EB6DE7DC}" name="Observacion 2020" dataDxfId="792" totalsRowDxfId="791"/>
    <tableColumn id="41" xr3:uid="{84122D8B-15CD-47A4-9E79-A93992B53D7E}" name="Programado 2021" dataDxfId="790" totalsRowDxfId="789"/>
    <tableColumn id="42" xr3:uid="{E9D58B70-AC6E-44A2-986F-3B91CE75B97E}" name="Ejecutado 2021" dataDxfId="788" totalsRowDxfId="787"/>
    <tableColumn id="43" xr3:uid="{3068FEA9-7807-462E-9AEE-18C0817D3F8F}" name="% Avance 2021" totalsRowFunction="custom" dataDxfId="786" totalsRowDxfId="785">
      <totalsRowFormula>SUBTOTAL(109,ReporteAvancePlanIndicativo3915[% Avance 2021])/10</totalsRowFormula>
    </tableColumn>
    <tableColumn id="44" xr3:uid="{C6D0F034-CDCE-4DCD-B8D9-744968B5C403}" name="Rango 2021" dataDxfId="784" totalsRowDxfId="783"/>
    <tableColumn id="45" xr3:uid="{D63E2E1F-32D7-43C8-8B47-0AA88FDB1275}" name="Observacion 2021" dataDxfId="782" totalsRowDxfId="781"/>
    <tableColumn id="46" xr3:uid="{CD29802C-2FCC-4BCF-81BB-8C045E34EDDA}" name="Programado 2022" dataDxfId="780" totalsRowDxfId="779"/>
    <tableColumn id="47" xr3:uid="{D5CE6833-751D-4290-B554-767EB70201FD}" name="Ejecutado 2022" dataDxfId="778" totalsRowDxfId="777"/>
    <tableColumn id="48" xr3:uid="{E4EA992D-F2A1-4431-AD6F-EDE8FE3A7B69}" name="% Avance 2022" totalsRowFunction="custom" dataDxfId="776" totalsRowDxfId="775">
      <totalsRowFormula>SUBTOTAL(109,ReporteAvancePlanIndicativo3915[% Avance 2022])/8</totalsRowFormula>
    </tableColumn>
    <tableColumn id="49" xr3:uid="{209457F4-8051-4166-892E-CDEF57150EC5}" name="Rango 2022" dataDxfId="774" totalsRowDxfId="773"/>
    <tableColumn id="50" xr3:uid="{536E78FE-8D58-4034-AA6A-5889188AC906}" name="Observacion 2022" dataDxfId="772" totalsRowDxfId="771"/>
    <tableColumn id="51" xr3:uid="{C567F80D-1547-4F55-9DE6-A7EDF8607BED}" name="Programado 2023" dataDxfId="770" totalsRowDxfId="769"/>
    <tableColumn id="52" xr3:uid="{7278A124-DFCD-4649-A283-900458E383EF}" name="Ejecutado 2023" dataDxfId="768" totalsRowDxfId="767"/>
    <tableColumn id="53" xr3:uid="{9E86BE63-2914-437E-8995-49FE26A6F549}" name="% Avance 2023" totalsRowFunction="custom" dataDxfId="766" totalsRowDxfId="765">
      <totalsRowFormula>SUBTOTAL(109,ReporteAvancePlanIndicativo3915[% Avance 2023])/10</totalsRowFormula>
    </tableColumn>
    <tableColumn id="54" xr3:uid="{F6FBD5CE-17E4-4F28-BDC0-F8636EFA2D89}" name="Rango 2023" dataDxfId="764" totalsRowDxfId="763"/>
    <tableColumn id="55" xr3:uid="{4A084B1A-58D1-4A5E-8317-C26A4206B602}" name="Observacion 2023" dataDxfId="762" totalsRowDxfId="76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ReporteAvancePlanIndicativo39" displayName="ReporteAvancePlanIndicativo39" ref="A1:M12" totalsRowCount="1" headerRowDxfId="760" dataDxfId="759">
  <tableColumns count="13">
    <tableColumn id="21" xr3:uid="{00000000-0010-0000-0B00-000015000000}" name="Producto" dataDxfId="758" totalsRowDxfId="757"/>
    <tableColumn id="25" xr3:uid="{00000000-0010-0000-0B00-000019000000}" name="Indicador Producto" dataDxfId="756" totalsRowDxfId="755"/>
    <tableColumn id="28" xr3:uid="{00000000-0010-0000-0B00-00001C000000}" name="Meta Cuatrienio" dataDxfId="754" totalsRowDxfId="753"/>
    <tableColumn id="36" xr3:uid="{00000000-0010-0000-0B00-000024000000}" name="Programado 2020" dataDxfId="752" totalsRowDxfId="751"/>
    <tableColumn id="37" xr3:uid="{00000000-0010-0000-0B00-000025000000}" name="Ejecutado 2020" dataDxfId="750" totalsRowDxfId="749"/>
    <tableColumn id="41" xr3:uid="{00000000-0010-0000-0B00-000029000000}" name="Programado 2021" dataDxfId="748" totalsRowDxfId="747"/>
    <tableColumn id="42" xr3:uid="{00000000-0010-0000-0B00-00002A000000}" name="Ejecutado 2021" dataDxfId="746" totalsRowDxfId="745"/>
    <tableColumn id="46" xr3:uid="{00000000-0010-0000-0B00-00002E000000}" name="Programado 2022" dataDxfId="744" totalsRowDxfId="743"/>
    <tableColumn id="47" xr3:uid="{00000000-0010-0000-0B00-00002F000000}" name="Ejecutado 2022" dataDxfId="742" totalsRowDxfId="741"/>
    <tableColumn id="51" xr3:uid="{00000000-0010-0000-0B00-000033000000}" name="Programado 2023" dataDxfId="740" totalsRowDxfId="739"/>
    <tableColumn id="52" xr3:uid="{00000000-0010-0000-0B00-000034000000}" name="Ejecutado 2023" dataDxfId="738" totalsRowDxfId="737"/>
    <tableColumn id="1" xr3:uid="{65C41E13-957C-497A-9857-8AECA76DEDD9}" name="Consolidado 2020 - 2023*" totalsRowFunction="custom" dataDxfId="736" totalsRowDxfId="735">
      <totalsRowFormula>SUBTOTAL(109,ReporteAvancePlanIndicativo39[Consolidado 2020 - 2023*])/10</totalsRowFormula>
    </tableColumn>
    <tableColumn id="2" xr3:uid="{F80CE8DA-B021-4214-9D88-8847EC8289E6}" name="Alertas" dataDxfId="39" totalsRowDxfId="3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E10E164-2557-420D-BB2A-1598897DB968}" name="ReporteAvancePlanIndicativo3721" displayName="ReporteAvancePlanIndicativo3721" ref="A1:W12" totalsRowCount="1" headerRowDxfId="734" dataDxfId="733">
  <autoFilter ref="A1:W11" xr:uid="{7E10E164-2557-420D-BB2A-1598897DB968}"/>
  <tableColumns count="23">
    <tableColumn id="21" xr3:uid="{95D1DDB3-497D-4E0A-BDF3-7FA57B613DA9}" name="Producto" dataDxfId="732" totalsRowDxfId="731"/>
    <tableColumn id="25" xr3:uid="{9C6F6238-CFD6-4FED-AF65-2D148FD7A000}" name="Indicador Producto" dataDxfId="730" totalsRowDxfId="729"/>
    <tableColumn id="28" xr3:uid="{38691C21-AD45-4368-A2E6-B6B95C6E8551}" name="Meta Cuatrienio" dataDxfId="728" totalsRowDxfId="727"/>
    <tableColumn id="36" xr3:uid="{729E8D4A-A9E0-402F-8BEE-F76F38352C91}" name="Programado 2020" dataDxfId="726" totalsRowDxfId="725"/>
    <tableColumn id="37" xr3:uid="{DD7A9271-C9DB-4736-A7E5-9DEB06B6F798}" name="Ejecutado 2020" dataDxfId="724" totalsRowDxfId="723"/>
    <tableColumn id="38" xr3:uid="{AD5A46C6-64B0-48A1-B3BB-FF542E0BFEFB}" name="% Avance 2020" totalsRowFunction="custom" dataDxfId="722" totalsRowDxfId="721">
      <totalsRowFormula>SUBTOTAL(109,ReporteAvancePlanIndicativo3721[% Avance 2020])/7</totalsRowFormula>
    </tableColumn>
    <tableColumn id="39" xr3:uid="{1F165E65-D3B0-4403-A75A-824F5A24197B}" name="Rango 2020" dataDxfId="720" totalsRowDxfId="719"/>
    <tableColumn id="40" xr3:uid="{E6DEE43A-E250-4AF4-A062-004BE054592C}" name="Observacion 2020" dataDxfId="718" totalsRowDxfId="717"/>
    <tableColumn id="41" xr3:uid="{E4CCEABD-5630-4C3B-A502-77436B9DBA8C}" name="Programado 2021" dataDxfId="716" totalsRowDxfId="715"/>
    <tableColumn id="42" xr3:uid="{F341F57F-B16D-4FEA-AABC-D3746F05B161}" name="Ejecutado 2021" dataDxfId="714" totalsRowDxfId="713"/>
    <tableColumn id="43" xr3:uid="{3AE2D7FD-3B09-485D-AE66-B406FC0535D8}" name="% Avance 2021" totalsRowFunction="custom" dataDxfId="712" totalsRowDxfId="711">
      <totalsRowFormula>SUBTOTAL(109,ReporteAvancePlanIndicativo3721[% Avance 2021])/10</totalsRowFormula>
    </tableColumn>
    <tableColumn id="44" xr3:uid="{49C58D58-91BD-4A01-B705-49D9570F0D02}" name="Rango 2021" dataDxfId="710" totalsRowDxfId="709"/>
    <tableColumn id="45" xr3:uid="{C5DE5551-58F9-4831-A457-38A7D8BA77AC}" name="Observacion 2021" dataDxfId="708" totalsRowDxfId="707"/>
    <tableColumn id="46" xr3:uid="{184AAC8B-1840-4822-8FEC-72A6034FFB58}" name="Programado 2022" dataDxfId="706" totalsRowDxfId="705"/>
    <tableColumn id="47" xr3:uid="{124CE66B-3B2D-4B7D-B0A1-16FD57675FCE}" name="Ejecutado 2022" dataDxfId="704" totalsRowDxfId="703"/>
    <tableColumn id="48" xr3:uid="{FDCE9381-A1D4-4CAC-94F2-6A6ACAA2A661}" name="% Avance 2022" totalsRowFunction="custom" dataDxfId="702" totalsRowDxfId="701">
      <totalsRowFormula>SUBTOTAL(109,ReporteAvancePlanIndicativo3721[% Avance 2022])/10</totalsRowFormula>
    </tableColumn>
    <tableColumn id="49" xr3:uid="{E9A4D40B-517F-4FDE-A2FF-712DAEE6AE80}" name="Rango 2022" dataDxfId="700" totalsRowDxfId="699"/>
    <tableColumn id="50" xr3:uid="{2B34FEE6-D558-4ACD-8C3D-2F5882DABF9F}" name="Observacion 2022" dataDxfId="698" totalsRowDxfId="697"/>
    <tableColumn id="51" xr3:uid="{FDF0133C-9F20-41D9-AF01-D061D07E17A2}" name="Programado 2023" dataDxfId="696" totalsRowDxfId="695"/>
    <tableColumn id="52" xr3:uid="{CFA69401-A6C4-490F-AF9A-0AD89C64BBA2}" name="Ejecutado 2023" dataDxfId="694" totalsRowDxfId="693"/>
    <tableColumn id="53" xr3:uid="{3BFDFF62-8D23-491B-8219-33B4EA1207D2}" name="% Avance 2023" totalsRowFunction="custom" dataDxfId="692" totalsRowDxfId="691">
      <totalsRowFormula>SUBTOTAL(109,ReporteAvancePlanIndicativo3721[% Avance 2023])/11</totalsRowFormula>
    </tableColumn>
    <tableColumn id="54" xr3:uid="{B2FEF46C-6958-4E75-A861-AC3336401845}" name="Rango 2023" dataDxfId="690" totalsRowDxfId="689"/>
    <tableColumn id="55" xr3:uid="{62396A89-C586-4A70-897C-8A632E05ABBF}" name="Observacion 2023" dataDxfId="688" totalsRowDxfId="68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EE046-4ACE-4C4D-9CBB-0E1F33D05F11}">
  <dimension ref="B1:R47"/>
  <sheetViews>
    <sheetView showGridLines="0" topLeftCell="A15" workbookViewId="0">
      <selection activeCell="P27" sqref="P27"/>
    </sheetView>
  </sheetViews>
  <sheetFormatPr baseColWidth="10" defaultRowHeight="15"/>
  <cols>
    <col min="1" max="1" width="5.5703125" style="7" customWidth="1"/>
    <col min="2" max="2" width="6.5703125" style="6" customWidth="1"/>
    <col min="3" max="3" width="17.42578125" style="7" customWidth="1"/>
    <col min="4" max="4" width="20.140625" style="7" customWidth="1"/>
    <col min="5" max="5" width="20.42578125" style="7" customWidth="1"/>
    <col min="6" max="6" width="16.7109375" style="7" customWidth="1"/>
    <col min="7" max="7" width="1.42578125" style="8" customWidth="1"/>
    <col min="8" max="8" width="5.7109375" style="7" customWidth="1"/>
    <col min="9" max="9" width="16.7109375" style="7" customWidth="1"/>
    <col min="10" max="10" width="21.85546875" style="7" customWidth="1"/>
    <col min="11" max="11" width="20" style="7" customWidth="1"/>
    <col min="12" max="12" width="13" style="7" customWidth="1"/>
    <col min="13" max="13" width="1.5703125" style="8" customWidth="1"/>
    <col min="14" max="14" width="6.140625" style="7" customWidth="1"/>
    <col min="15" max="15" width="19.7109375" style="7" customWidth="1"/>
    <col min="16" max="16" width="19.28515625" style="7" customWidth="1"/>
    <col min="17" max="17" width="22.7109375" style="7" customWidth="1"/>
    <col min="18" max="18" width="13" style="9" customWidth="1"/>
    <col min="19" max="16384" width="11.42578125" style="7"/>
  </cols>
  <sheetData>
    <row r="1" spans="2:18">
      <c r="B1" s="63" t="s">
        <v>635</v>
      </c>
      <c r="C1" s="64"/>
      <c r="D1" s="64"/>
      <c r="E1" s="64"/>
      <c r="F1" s="64"/>
      <c r="G1" s="64"/>
      <c r="H1" s="64"/>
      <c r="I1" s="64"/>
      <c r="J1" s="64"/>
      <c r="K1" s="64"/>
      <c r="L1" s="64"/>
      <c r="M1" s="64"/>
      <c r="N1" s="64"/>
      <c r="O1" s="64"/>
      <c r="P1" s="64"/>
      <c r="Q1" s="64"/>
      <c r="R1" s="65"/>
    </row>
    <row r="2" spans="2:18" ht="15.75" thickBot="1">
      <c r="B2" s="66"/>
      <c r="C2" s="67"/>
      <c r="D2" s="67"/>
      <c r="E2" s="67"/>
      <c r="F2" s="67"/>
      <c r="G2" s="67"/>
      <c r="H2" s="67"/>
      <c r="I2" s="67"/>
      <c r="J2" s="67"/>
      <c r="K2" s="67"/>
      <c r="L2" s="67"/>
      <c r="M2" s="67"/>
      <c r="N2" s="67"/>
      <c r="O2" s="67"/>
      <c r="P2" s="67"/>
      <c r="Q2" s="67"/>
      <c r="R2" s="68"/>
    </row>
    <row r="3" spans="2:18">
      <c r="B3" s="77" t="s">
        <v>630</v>
      </c>
      <c r="C3" s="77"/>
      <c r="D3" s="77"/>
      <c r="E3" s="77"/>
      <c r="F3" s="77"/>
      <c r="H3" s="78" t="s">
        <v>631</v>
      </c>
      <c r="I3" s="77"/>
      <c r="J3" s="77"/>
      <c r="K3" s="77"/>
      <c r="L3" s="79"/>
      <c r="N3" s="78" t="s">
        <v>632</v>
      </c>
      <c r="O3" s="77"/>
      <c r="P3" s="77"/>
      <c r="Q3" s="77"/>
      <c r="R3" s="79"/>
    </row>
    <row r="4" spans="2:18" ht="30">
      <c r="B4" s="10" t="s">
        <v>606</v>
      </c>
      <c r="C4" s="10" t="s">
        <v>607</v>
      </c>
      <c r="D4" s="10" t="s">
        <v>608</v>
      </c>
      <c r="E4" s="10" t="s">
        <v>609</v>
      </c>
      <c r="F4" s="10" t="s">
        <v>610</v>
      </c>
      <c r="H4" s="11" t="s">
        <v>606</v>
      </c>
      <c r="I4" s="10" t="s">
        <v>607</v>
      </c>
      <c r="J4" s="10" t="s">
        <v>608</v>
      </c>
      <c r="K4" s="10" t="s">
        <v>611</v>
      </c>
      <c r="L4" s="12" t="s">
        <v>610</v>
      </c>
      <c r="N4" s="11" t="s">
        <v>606</v>
      </c>
      <c r="O4" s="10" t="s">
        <v>607</v>
      </c>
      <c r="P4" s="10" t="s">
        <v>608</v>
      </c>
      <c r="Q4" s="10" t="s">
        <v>612</v>
      </c>
      <c r="R4" s="13" t="s">
        <v>610</v>
      </c>
    </row>
    <row r="5" spans="2:18">
      <c r="B5" s="14">
        <v>1</v>
      </c>
      <c r="C5" s="73" t="s">
        <v>613</v>
      </c>
      <c r="D5" s="15" t="s">
        <v>614</v>
      </c>
      <c r="E5" s="16">
        <v>502208844</v>
      </c>
      <c r="F5" s="15">
        <v>10.62</v>
      </c>
      <c r="H5" s="17">
        <v>1</v>
      </c>
      <c r="I5" s="73" t="s">
        <v>613</v>
      </c>
      <c r="J5" s="15" t="s">
        <v>614</v>
      </c>
      <c r="K5" s="18">
        <v>5011186060.6099997</v>
      </c>
      <c r="L5" s="19">
        <v>57.85</v>
      </c>
      <c r="N5" s="17">
        <v>1</v>
      </c>
      <c r="O5" s="73" t="s">
        <v>613</v>
      </c>
      <c r="P5" s="15" t="s">
        <v>614</v>
      </c>
      <c r="Q5" s="20">
        <v>6946838402</v>
      </c>
      <c r="R5" s="21">
        <v>62.49</v>
      </c>
    </row>
    <row r="6" spans="2:18">
      <c r="B6" s="14">
        <v>2</v>
      </c>
      <c r="C6" s="74"/>
      <c r="D6" s="15" t="s">
        <v>615</v>
      </c>
      <c r="E6" s="16">
        <v>546053215</v>
      </c>
      <c r="F6" s="15">
        <v>8.6199999999999992</v>
      </c>
      <c r="H6" s="17">
        <v>2</v>
      </c>
      <c r="I6" s="74"/>
      <c r="J6" s="15" t="s">
        <v>615</v>
      </c>
      <c r="K6" s="22">
        <v>6595798629.54</v>
      </c>
      <c r="L6" s="19">
        <v>70.23</v>
      </c>
      <c r="N6" s="17">
        <v>2</v>
      </c>
      <c r="O6" s="74"/>
      <c r="P6" s="15" t="s">
        <v>615</v>
      </c>
      <c r="Q6" s="18">
        <v>10582993812</v>
      </c>
      <c r="R6" s="21">
        <v>89.92</v>
      </c>
    </row>
    <row r="7" spans="2:18">
      <c r="B7" s="14">
        <v>3</v>
      </c>
      <c r="C7" s="74"/>
      <c r="D7" s="15" t="s">
        <v>616</v>
      </c>
      <c r="E7" s="16">
        <v>3687694506</v>
      </c>
      <c r="F7" s="15">
        <v>79.13</v>
      </c>
      <c r="H7" s="17">
        <v>3</v>
      </c>
      <c r="I7" s="74"/>
      <c r="J7" s="15" t="s">
        <v>616</v>
      </c>
      <c r="K7" s="22">
        <v>6685007226</v>
      </c>
      <c r="L7" s="19">
        <v>98.05</v>
      </c>
      <c r="N7" s="17">
        <v>3</v>
      </c>
      <c r="O7" s="74"/>
      <c r="P7" s="15" t="s">
        <v>616</v>
      </c>
      <c r="Q7" s="20">
        <v>8102254608</v>
      </c>
      <c r="R7" s="21">
        <v>99.2</v>
      </c>
    </row>
    <row r="8" spans="2:18">
      <c r="B8" s="14">
        <v>4</v>
      </c>
      <c r="C8" s="74"/>
      <c r="D8" s="15" t="s">
        <v>118</v>
      </c>
      <c r="E8" s="16">
        <v>2559804419</v>
      </c>
      <c r="F8" s="15">
        <v>74.430000000000007</v>
      </c>
      <c r="H8" s="17">
        <v>4</v>
      </c>
      <c r="I8" s="74"/>
      <c r="J8" s="15" t="s">
        <v>118</v>
      </c>
      <c r="K8" s="22">
        <v>17440340980.259998</v>
      </c>
      <c r="L8" s="19">
        <v>89.83</v>
      </c>
      <c r="N8" s="17">
        <v>4</v>
      </c>
      <c r="O8" s="74"/>
      <c r="P8" s="15" t="s">
        <v>118</v>
      </c>
      <c r="Q8" s="18">
        <v>18824609576</v>
      </c>
      <c r="R8" s="21">
        <v>87.42</v>
      </c>
    </row>
    <row r="9" spans="2:18">
      <c r="B9" s="14">
        <v>5</v>
      </c>
      <c r="C9" s="74"/>
      <c r="D9" s="15" t="s">
        <v>0</v>
      </c>
      <c r="E9" s="16">
        <v>394748645</v>
      </c>
      <c r="F9" s="15">
        <v>15.66</v>
      </c>
      <c r="H9" s="17">
        <v>5</v>
      </c>
      <c r="I9" s="74"/>
      <c r="J9" s="15" t="s">
        <v>0</v>
      </c>
      <c r="K9" s="22">
        <v>6802165609</v>
      </c>
      <c r="L9" s="19">
        <v>86.15</v>
      </c>
      <c r="N9" s="17">
        <v>5</v>
      </c>
      <c r="O9" s="74"/>
      <c r="P9" s="15" t="s">
        <v>0</v>
      </c>
      <c r="Q9" s="18">
        <v>8301159299</v>
      </c>
      <c r="R9" s="21">
        <v>90.88</v>
      </c>
    </row>
    <row r="10" spans="2:18">
      <c r="B10" s="14">
        <v>6</v>
      </c>
      <c r="C10" s="75"/>
      <c r="D10" s="15" t="s">
        <v>617</v>
      </c>
      <c r="E10" s="16">
        <v>876809167</v>
      </c>
      <c r="F10" s="15">
        <v>89.21</v>
      </c>
      <c r="H10" s="17">
        <v>6</v>
      </c>
      <c r="I10" s="75"/>
      <c r="J10" s="15" t="s">
        <v>617</v>
      </c>
      <c r="K10" s="18">
        <v>3393913778</v>
      </c>
      <c r="L10" s="19">
        <v>93.62</v>
      </c>
      <c r="N10" s="17">
        <v>6</v>
      </c>
      <c r="O10" s="75"/>
      <c r="P10" s="15" t="s">
        <v>617</v>
      </c>
      <c r="Q10" s="18">
        <v>5549177506</v>
      </c>
      <c r="R10" s="21">
        <v>96.09</v>
      </c>
    </row>
    <row r="11" spans="2:18">
      <c r="B11" s="14">
        <v>7</v>
      </c>
      <c r="C11" s="73" t="s">
        <v>618</v>
      </c>
      <c r="D11" s="15" t="s">
        <v>619</v>
      </c>
      <c r="E11" s="16">
        <v>82583922</v>
      </c>
      <c r="F11" s="15">
        <v>2.79</v>
      </c>
      <c r="H11" s="17">
        <v>7</v>
      </c>
      <c r="I11" s="73" t="s">
        <v>618</v>
      </c>
      <c r="J11" s="15" t="s">
        <v>619</v>
      </c>
      <c r="K11" s="18">
        <v>5285380268</v>
      </c>
      <c r="L11" s="19">
        <v>48.83</v>
      </c>
      <c r="N11" s="17">
        <v>7</v>
      </c>
      <c r="O11" s="73" t="s">
        <v>618</v>
      </c>
      <c r="P11" s="15" t="s">
        <v>619</v>
      </c>
      <c r="Q11" s="18">
        <v>3736627236</v>
      </c>
      <c r="R11" s="21">
        <v>18.760000000000002</v>
      </c>
    </row>
    <row r="12" spans="2:18">
      <c r="B12" s="14">
        <v>8</v>
      </c>
      <c r="C12" s="74"/>
      <c r="D12" s="15" t="s">
        <v>620</v>
      </c>
      <c r="E12" s="16">
        <v>4585170275</v>
      </c>
      <c r="F12" s="15">
        <v>67.150000000000006</v>
      </c>
      <c r="H12" s="17">
        <v>8</v>
      </c>
      <c r="I12" s="74"/>
      <c r="J12" s="15" t="s">
        <v>620</v>
      </c>
      <c r="K12" s="18">
        <v>14475194138.309999</v>
      </c>
      <c r="L12" s="19">
        <v>76.790000000000006</v>
      </c>
      <c r="N12" s="17">
        <v>8</v>
      </c>
      <c r="O12" s="74"/>
      <c r="P12" s="15" t="s">
        <v>620</v>
      </c>
      <c r="Q12" s="18">
        <v>68124549802</v>
      </c>
      <c r="R12" s="21">
        <v>91.34</v>
      </c>
    </row>
    <row r="13" spans="2:18">
      <c r="B13" s="14">
        <v>9</v>
      </c>
      <c r="C13" s="75"/>
      <c r="D13" s="15" t="s">
        <v>621</v>
      </c>
      <c r="E13" s="16">
        <v>1266344567</v>
      </c>
      <c r="F13" s="15">
        <v>74.86</v>
      </c>
      <c r="H13" s="17">
        <v>9</v>
      </c>
      <c r="I13" s="75"/>
      <c r="J13" s="15" t="s">
        <v>621</v>
      </c>
      <c r="K13" s="18">
        <v>3379567308.8400002</v>
      </c>
      <c r="L13" s="19">
        <v>80.819999999999993</v>
      </c>
      <c r="N13" s="17">
        <v>9</v>
      </c>
      <c r="O13" s="75"/>
      <c r="P13" s="15" t="s">
        <v>621</v>
      </c>
      <c r="Q13" s="18">
        <v>2941915784</v>
      </c>
      <c r="R13" s="21">
        <v>79.260000000000005</v>
      </c>
    </row>
    <row r="14" spans="2:18" ht="47.25" customHeight="1">
      <c r="B14" s="14">
        <v>10</v>
      </c>
      <c r="C14" s="23" t="s">
        <v>520</v>
      </c>
      <c r="D14" s="15" t="s">
        <v>622</v>
      </c>
      <c r="E14" s="16">
        <v>113885679</v>
      </c>
      <c r="F14" s="15">
        <v>6.46</v>
      </c>
      <c r="H14" s="17">
        <v>10</v>
      </c>
      <c r="I14" s="23" t="s">
        <v>520</v>
      </c>
      <c r="J14" s="15" t="s">
        <v>622</v>
      </c>
      <c r="K14" s="18">
        <v>777639631</v>
      </c>
      <c r="L14" s="19">
        <v>36.450000000000003</v>
      </c>
      <c r="N14" s="17">
        <v>10</v>
      </c>
      <c r="O14" s="23" t="s">
        <v>520</v>
      </c>
      <c r="P14" s="15" t="s">
        <v>622</v>
      </c>
      <c r="Q14" s="18">
        <v>2378222922</v>
      </c>
      <c r="R14" s="21">
        <v>92.48</v>
      </c>
    </row>
    <row r="15" spans="2:18">
      <c r="B15" s="14">
        <v>11</v>
      </c>
      <c r="C15" s="73" t="s">
        <v>422</v>
      </c>
      <c r="D15" s="15" t="s">
        <v>623</v>
      </c>
      <c r="E15" s="16">
        <v>981375230</v>
      </c>
      <c r="F15" s="15">
        <v>51.7</v>
      </c>
      <c r="H15" s="17">
        <v>11</v>
      </c>
      <c r="I15" s="73" t="s">
        <v>422</v>
      </c>
      <c r="J15" s="15" t="s">
        <v>623</v>
      </c>
      <c r="K15" s="18">
        <v>2484908168</v>
      </c>
      <c r="L15" s="19">
        <v>84.87</v>
      </c>
      <c r="N15" s="17">
        <v>11</v>
      </c>
      <c r="O15" s="73" t="s">
        <v>422</v>
      </c>
      <c r="P15" s="15" t="s">
        <v>623</v>
      </c>
      <c r="Q15" s="18">
        <v>2257366304</v>
      </c>
      <c r="R15" s="21">
        <v>95.93</v>
      </c>
    </row>
    <row r="16" spans="2:18">
      <c r="B16" s="14">
        <v>12</v>
      </c>
      <c r="C16" s="74"/>
      <c r="D16" s="15" t="s">
        <v>624</v>
      </c>
      <c r="E16" s="24">
        <v>812489702</v>
      </c>
      <c r="F16" s="15">
        <v>76.11</v>
      </c>
      <c r="H16" s="17">
        <v>12</v>
      </c>
      <c r="I16" s="74"/>
      <c r="J16" s="15" t="s">
        <v>624</v>
      </c>
      <c r="K16" s="18">
        <v>2309600372</v>
      </c>
      <c r="L16" s="19">
        <v>84.97</v>
      </c>
      <c r="N16" s="17">
        <v>12</v>
      </c>
      <c r="O16" s="74"/>
      <c r="P16" s="15" t="s">
        <v>624</v>
      </c>
      <c r="Q16" s="18">
        <v>2844197481</v>
      </c>
      <c r="R16" s="21">
        <v>78.349999999999994</v>
      </c>
    </row>
    <row r="17" spans="2:18">
      <c r="B17" s="14">
        <v>13</v>
      </c>
      <c r="C17" s="74"/>
      <c r="D17" s="15" t="s">
        <v>625</v>
      </c>
      <c r="E17" s="16">
        <v>52269999</v>
      </c>
      <c r="F17" s="15">
        <v>70.02</v>
      </c>
      <c r="H17" s="17">
        <v>13</v>
      </c>
      <c r="I17" s="74"/>
      <c r="J17" s="15" t="s">
        <v>625</v>
      </c>
      <c r="K17" s="18">
        <v>899487193.03999996</v>
      </c>
      <c r="L17" s="19">
        <v>71.2</v>
      </c>
      <c r="N17" s="17">
        <v>13</v>
      </c>
      <c r="O17" s="74"/>
      <c r="P17" s="15" t="s">
        <v>625</v>
      </c>
      <c r="Q17" s="18">
        <v>1654649882</v>
      </c>
      <c r="R17" s="21">
        <v>88.78</v>
      </c>
    </row>
    <row r="18" spans="2:18">
      <c r="B18" s="14">
        <v>14</v>
      </c>
      <c r="C18" s="74"/>
      <c r="D18" s="15" t="s">
        <v>626</v>
      </c>
      <c r="E18" s="24">
        <v>0</v>
      </c>
      <c r="F18" s="15">
        <v>0</v>
      </c>
      <c r="H18" s="17">
        <v>14</v>
      </c>
      <c r="I18" s="74"/>
      <c r="J18" s="15" t="s">
        <v>626</v>
      </c>
      <c r="K18" s="18">
        <v>80000000</v>
      </c>
      <c r="L18" s="19">
        <v>100</v>
      </c>
      <c r="N18" s="17">
        <v>14</v>
      </c>
      <c r="O18" s="74"/>
      <c r="P18" s="15" t="s">
        <v>626</v>
      </c>
      <c r="Q18" s="18">
        <v>56200000</v>
      </c>
      <c r="R18" s="21">
        <v>84.89</v>
      </c>
    </row>
    <row r="19" spans="2:18" ht="15.75" thickBot="1">
      <c r="B19" s="14">
        <v>15</v>
      </c>
      <c r="C19" s="76"/>
      <c r="D19" s="25" t="s">
        <v>627</v>
      </c>
      <c r="E19" s="26">
        <v>91463135</v>
      </c>
      <c r="F19" s="25">
        <v>11.12</v>
      </c>
      <c r="H19" s="27">
        <v>15</v>
      </c>
      <c r="I19" s="76"/>
      <c r="J19" s="28" t="s">
        <v>627</v>
      </c>
      <c r="K19" s="29">
        <v>1163671795.6900001</v>
      </c>
      <c r="L19" s="30">
        <v>79.39</v>
      </c>
      <c r="N19" s="27">
        <v>15</v>
      </c>
      <c r="O19" s="76"/>
      <c r="P19" s="28" t="s">
        <v>627</v>
      </c>
      <c r="Q19" s="29">
        <v>782031829</v>
      </c>
      <c r="R19" s="31">
        <v>99.27</v>
      </c>
    </row>
    <row r="20" spans="2:18" ht="15.75" thickBot="1">
      <c r="C20" s="32" t="s">
        <v>628</v>
      </c>
      <c r="D20" s="33">
        <v>39876114987</v>
      </c>
      <c r="E20" s="34">
        <f>SUM(E5:E19)</f>
        <v>16552901305</v>
      </c>
      <c r="F20" s="35">
        <f>+E20*100/D20</f>
        <v>41.510817466537063</v>
      </c>
      <c r="I20" s="36" t="s">
        <v>628</v>
      </c>
      <c r="J20" s="37">
        <v>100249298544</v>
      </c>
      <c r="K20" s="37">
        <f>SUM(K5:K19)</f>
        <v>76783861158.289993</v>
      </c>
      <c r="L20" s="38">
        <f>+K20*100/J20</f>
        <v>76.592916133561886</v>
      </c>
      <c r="O20" s="36" t="s">
        <v>628</v>
      </c>
      <c r="P20" s="39">
        <v>176972218841</v>
      </c>
      <c r="Q20" s="37">
        <f>SUM(Q5:Q19)</f>
        <v>143082794443</v>
      </c>
      <c r="R20" s="40">
        <f>+Q20*100/P20</f>
        <v>80.850426908842778</v>
      </c>
    </row>
    <row r="21" spans="2:18" ht="6.75" customHeight="1"/>
    <row r="22" spans="2:18" ht="15.75" thickBot="1">
      <c r="B22" s="82" t="s">
        <v>140</v>
      </c>
      <c r="C22" s="82"/>
      <c r="D22" s="82"/>
      <c r="E22" s="82"/>
      <c r="F22" s="67"/>
      <c r="J22" s="7" t="s">
        <v>140</v>
      </c>
      <c r="P22" s="7" t="s">
        <v>140</v>
      </c>
    </row>
    <row r="23" spans="2:18" ht="15" customHeight="1">
      <c r="B23" s="83" t="s">
        <v>636</v>
      </c>
      <c r="C23" s="83"/>
      <c r="D23" s="83"/>
      <c r="E23" s="83"/>
      <c r="F23" s="52"/>
      <c r="H23" s="69" t="s">
        <v>629</v>
      </c>
      <c r="I23" s="70"/>
      <c r="J23" s="70"/>
      <c r="K23" s="70"/>
      <c r="L23" s="71"/>
      <c r="P23" s="7" t="s">
        <v>140</v>
      </c>
    </row>
    <row r="24" spans="2:18" ht="30">
      <c r="B24" s="51" t="s">
        <v>606</v>
      </c>
      <c r="C24" s="10" t="s">
        <v>607</v>
      </c>
      <c r="D24" s="10" t="s">
        <v>608</v>
      </c>
      <c r="E24" s="10" t="s">
        <v>611</v>
      </c>
      <c r="F24" s="41" t="s">
        <v>140</v>
      </c>
      <c r="H24" s="10" t="s">
        <v>606</v>
      </c>
      <c r="I24" s="10" t="s">
        <v>607</v>
      </c>
      <c r="J24" s="10" t="s">
        <v>608</v>
      </c>
      <c r="K24" s="10" t="s">
        <v>611</v>
      </c>
      <c r="L24" s="10" t="s">
        <v>610</v>
      </c>
      <c r="P24" s="7" t="s">
        <v>140</v>
      </c>
    </row>
    <row r="25" spans="2:18" ht="23.25" customHeight="1">
      <c r="B25" s="53">
        <v>1</v>
      </c>
      <c r="C25" s="72" t="s">
        <v>613</v>
      </c>
      <c r="D25" s="15" t="s">
        <v>614</v>
      </c>
      <c r="E25" s="49">
        <f t="shared" ref="E25:E39" si="0">+E5+K5+Q5+K25</f>
        <v>22179140000.610001</v>
      </c>
      <c r="F25" s="42" t="s">
        <v>140</v>
      </c>
      <c r="H25" s="14">
        <v>1</v>
      </c>
      <c r="I25" s="72" t="s">
        <v>613</v>
      </c>
      <c r="J25" s="15" t="s">
        <v>614</v>
      </c>
      <c r="K25" s="49">
        <v>9718906694</v>
      </c>
      <c r="L25" s="15">
        <v>75.37</v>
      </c>
    </row>
    <row r="26" spans="2:18" ht="23.25" customHeight="1">
      <c r="B26" s="53">
        <v>2</v>
      </c>
      <c r="C26" s="72"/>
      <c r="D26" s="15" t="s">
        <v>615</v>
      </c>
      <c r="E26" s="49">
        <f t="shared" si="0"/>
        <v>30986409309.540001</v>
      </c>
      <c r="F26" s="42" t="s">
        <v>140</v>
      </c>
      <c r="H26" s="14">
        <v>2</v>
      </c>
      <c r="I26" s="72"/>
      <c r="J26" s="15" t="s">
        <v>615</v>
      </c>
      <c r="K26" s="49">
        <v>13261563653</v>
      </c>
      <c r="L26" s="15">
        <v>87.03</v>
      </c>
    </row>
    <row r="27" spans="2:18" ht="23.25" customHeight="1">
      <c r="B27" s="53">
        <v>3</v>
      </c>
      <c r="C27" s="72"/>
      <c r="D27" s="15" t="s">
        <v>616</v>
      </c>
      <c r="E27" s="49">
        <f t="shared" si="0"/>
        <v>28041238801</v>
      </c>
      <c r="F27" s="42" t="s">
        <v>140</v>
      </c>
      <c r="H27" s="14">
        <v>3</v>
      </c>
      <c r="I27" s="72"/>
      <c r="J27" s="15" t="s">
        <v>616</v>
      </c>
      <c r="K27" s="49">
        <v>9566282461</v>
      </c>
      <c r="L27" s="15">
        <v>83.83</v>
      </c>
    </row>
    <row r="28" spans="2:18" ht="23.25" customHeight="1">
      <c r="B28" s="53">
        <v>4</v>
      </c>
      <c r="C28" s="72"/>
      <c r="D28" s="15" t="s">
        <v>118</v>
      </c>
      <c r="E28" s="49">
        <f t="shared" si="0"/>
        <v>67172795117.259995</v>
      </c>
      <c r="F28" s="42" t="s">
        <v>140</v>
      </c>
      <c r="H28" s="14">
        <v>4</v>
      </c>
      <c r="I28" s="72"/>
      <c r="J28" s="15" t="s">
        <v>118</v>
      </c>
      <c r="K28" s="49">
        <v>28348040142</v>
      </c>
      <c r="L28" s="15">
        <v>85.27</v>
      </c>
    </row>
    <row r="29" spans="2:18" ht="23.25" customHeight="1">
      <c r="B29" s="53">
        <v>5</v>
      </c>
      <c r="C29" s="72"/>
      <c r="D29" s="15" t="s">
        <v>0</v>
      </c>
      <c r="E29" s="49">
        <f t="shared" si="0"/>
        <v>23612041526.52</v>
      </c>
      <c r="F29" s="42" t="s">
        <v>592</v>
      </c>
      <c r="H29" s="14">
        <v>5</v>
      </c>
      <c r="I29" s="72"/>
      <c r="J29" s="15" t="s">
        <v>0</v>
      </c>
      <c r="K29" s="49">
        <v>8113967973.5200005</v>
      </c>
      <c r="L29" s="15">
        <v>72.62</v>
      </c>
    </row>
    <row r="30" spans="2:18" ht="23.25" customHeight="1">
      <c r="B30" s="53">
        <v>6</v>
      </c>
      <c r="C30" s="72"/>
      <c r="D30" s="15" t="s">
        <v>617</v>
      </c>
      <c r="E30" s="49">
        <f t="shared" si="0"/>
        <v>13692813524</v>
      </c>
      <c r="F30" s="42" t="s">
        <v>140</v>
      </c>
      <c r="H30" s="14">
        <v>6</v>
      </c>
      <c r="I30" s="72"/>
      <c r="J30" s="15" t="s">
        <v>617</v>
      </c>
      <c r="K30" s="49">
        <v>3872913073</v>
      </c>
      <c r="L30" s="15">
        <v>48.94</v>
      </c>
    </row>
    <row r="31" spans="2:18" ht="23.25" customHeight="1">
      <c r="B31" s="53">
        <v>7</v>
      </c>
      <c r="C31" s="72" t="s">
        <v>618</v>
      </c>
      <c r="D31" s="15" t="s">
        <v>619</v>
      </c>
      <c r="E31" s="49">
        <f t="shared" si="0"/>
        <v>18158266763</v>
      </c>
      <c r="F31" s="42" t="s">
        <v>140</v>
      </c>
      <c r="H31" s="14">
        <v>7</v>
      </c>
      <c r="I31" s="72" t="s">
        <v>618</v>
      </c>
      <c r="J31" s="15" t="s">
        <v>619</v>
      </c>
      <c r="K31" s="49">
        <v>9053675337</v>
      </c>
      <c r="L31" s="15">
        <v>49.33</v>
      </c>
    </row>
    <row r="32" spans="2:18" ht="23.25" customHeight="1">
      <c r="B32" s="53">
        <v>8</v>
      </c>
      <c r="C32" s="72"/>
      <c r="D32" s="15" t="s">
        <v>620</v>
      </c>
      <c r="E32" s="49">
        <f t="shared" si="0"/>
        <v>138051565624.29001</v>
      </c>
      <c r="F32" s="42" t="s">
        <v>140</v>
      </c>
      <c r="H32" s="14">
        <v>8</v>
      </c>
      <c r="I32" s="72"/>
      <c r="J32" s="15" t="s">
        <v>620</v>
      </c>
      <c r="K32" s="49">
        <v>50866651408.980003</v>
      </c>
      <c r="L32" s="15">
        <v>86.63</v>
      </c>
    </row>
    <row r="33" spans="2:12" ht="23.25" customHeight="1">
      <c r="B33" s="53">
        <v>9</v>
      </c>
      <c r="C33" s="72"/>
      <c r="D33" s="15" t="s">
        <v>621</v>
      </c>
      <c r="E33" s="49">
        <f t="shared" si="0"/>
        <v>17572125853.84</v>
      </c>
      <c r="F33" s="42" t="s">
        <v>592</v>
      </c>
      <c r="H33" s="14">
        <v>9</v>
      </c>
      <c r="I33" s="72"/>
      <c r="J33" s="15" t="s">
        <v>621</v>
      </c>
      <c r="K33" s="49">
        <v>9984298194</v>
      </c>
      <c r="L33" s="15">
        <v>90.86</v>
      </c>
    </row>
    <row r="34" spans="2:12" ht="45" customHeight="1">
      <c r="B34" s="53">
        <v>10</v>
      </c>
      <c r="C34" s="48" t="s">
        <v>520</v>
      </c>
      <c r="D34" s="15" t="s">
        <v>622</v>
      </c>
      <c r="E34" s="49">
        <f t="shared" si="0"/>
        <v>4050018894</v>
      </c>
      <c r="F34" s="42" t="s">
        <v>140</v>
      </c>
      <c r="H34" s="14">
        <v>10</v>
      </c>
      <c r="I34" s="23" t="s">
        <v>520</v>
      </c>
      <c r="J34" s="15" t="s">
        <v>622</v>
      </c>
      <c r="K34" s="49">
        <v>780270662</v>
      </c>
      <c r="L34" s="15">
        <v>33.049999999999997</v>
      </c>
    </row>
    <row r="35" spans="2:12">
      <c r="B35" s="53">
        <v>11</v>
      </c>
      <c r="C35" s="72" t="s">
        <v>422</v>
      </c>
      <c r="D35" s="15" t="s">
        <v>623</v>
      </c>
      <c r="E35" s="49">
        <f t="shared" si="0"/>
        <v>7404061958.5900002</v>
      </c>
      <c r="F35" s="42" t="s">
        <v>140</v>
      </c>
      <c r="H35" s="14">
        <v>11</v>
      </c>
      <c r="I35" s="72" t="s">
        <v>422</v>
      </c>
      <c r="J35" s="15" t="s">
        <v>623</v>
      </c>
      <c r="K35" s="49">
        <v>1680412256.5899999</v>
      </c>
      <c r="L35" s="15">
        <v>77.680000000000007</v>
      </c>
    </row>
    <row r="36" spans="2:12">
      <c r="B36" s="53">
        <v>12</v>
      </c>
      <c r="C36" s="72"/>
      <c r="D36" s="15" t="s">
        <v>624</v>
      </c>
      <c r="E36" s="49">
        <f t="shared" si="0"/>
        <v>6983115765</v>
      </c>
      <c r="F36" s="42" t="s">
        <v>140</v>
      </c>
      <c r="H36" s="14">
        <v>12</v>
      </c>
      <c r="I36" s="72"/>
      <c r="J36" s="15" t="s">
        <v>624</v>
      </c>
      <c r="K36" s="49">
        <v>1016828210</v>
      </c>
      <c r="L36" s="15">
        <v>34.78</v>
      </c>
    </row>
    <row r="37" spans="2:12">
      <c r="B37" s="53">
        <v>13</v>
      </c>
      <c r="C37" s="72"/>
      <c r="D37" s="15" t="s">
        <v>625</v>
      </c>
      <c r="E37" s="49">
        <f t="shared" si="0"/>
        <v>3921842933.04</v>
      </c>
      <c r="F37" s="42" t="s">
        <v>140</v>
      </c>
      <c r="H37" s="14">
        <v>13</v>
      </c>
      <c r="I37" s="72"/>
      <c r="J37" s="15" t="s">
        <v>625</v>
      </c>
      <c r="K37" s="49">
        <v>1315435859</v>
      </c>
      <c r="L37" s="15">
        <v>83.83</v>
      </c>
    </row>
    <row r="38" spans="2:12">
      <c r="B38" s="53">
        <v>14</v>
      </c>
      <c r="C38" s="72"/>
      <c r="D38" s="15" t="s">
        <v>626</v>
      </c>
      <c r="E38" s="18">
        <f t="shared" si="0"/>
        <v>244371250</v>
      </c>
      <c r="F38" s="42" t="s">
        <v>140</v>
      </c>
      <c r="H38" s="14">
        <v>14</v>
      </c>
      <c r="I38" s="72"/>
      <c r="J38" s="15" t="s">
        <v>626</v>
      </c>
      <c r="K38" s="18">
        <v>108171250</v>
      </c>
      <c r="L38" s="15">
        <v>100</v>
      </c>
    </row>
    <row r="39" spans="2:12">
      <c r="B39" s="53">
        <v>15</v>
      </c>
      <c r="C39" s="72"/>
      <c r="D39" s="15" t="s">
        <v>627</v>
      </c>
      <c r="E39" s="49">
        <f t="shared" si="0"/>
        <v>2698129813.6900001</v>
      </c>
      <c r="F39" s="42" t="s">
        <v>140</v>
      </c>
      <c r="H39" s="14">
        <v>15</v>
      </c>
      <c r="I39" s="72"/>
      <c r="J39" s="15" t="s">
        <v>627</v>
      </c>
      <c r="K39" s="49">
        <v>660963054</v>
      </c>
      <c r="L39" s="15">
        <v>82.62</v>
      </c>
    </row>
    <row r="40" spans="2:12" ht="15.75" thickBot="1">
      <c r="B40" s="7"/>
      <c r="C40" s="15" t="s">
        <v>628</v>
      </c>
      <c r="D40" s="54">
        <f>+D20+J20+P20+197733296054.3</f>
        <v>514830928426.29999</v>
      </c>
      <c r="E40" s="18">
        <f>SUM(E25:E39)</f>
        <v>384767937134.38</v>
      </c>
      <c r="F40" s="38" t="s">
        <v>140</v>
      </c>
      <c r="I40" s="36" t="s">
        <v>628</v>
      </c>
      <c r="J40" s="37" t="s">
        <v>634</v>
      </c>
      <c r="K40" s="37">
        <v>149039623918.67999</v>
      </c>
      <c r="L40" s="38">
        <v>75.37</v>
      </c>
    </row>
    <row r="41" spans="2:12" ht="20.25" customHeight="1">
      <c r="B41" s="7"/>
      <c r="C41" s="84" t="s">
        <v>633</v>
      </c>
      <c r="D41" s="84"/>
      <c r="E41" s="84"/>
      <c r="F41" s="55"/>
      <c r="I41" s="81" t="s">
        <v>633</v>
      </c>
      <c r="J41" s="81"/>
      <c r="K41" s="81"/>
      <c r="L41" s="81"/>
    </row>
    <row r="42" spans="2:12">
      <c r="B42" s="80"/>
      <c r="C42" s="80"/>
      <c r="D42" s="43"/>
      <c r="E42" s="9" t="s">
        <v>140</v>
      </c>
    </row>
    <row r="43" spans="2:12">
      <c r="E43" s="9" t="s">
        <v>140</v>
      </c>
      <c r="I43" s="41"/>
      <c r="J43" s="41"/>
      <c r="K43" s="41"/>
      <c r="L43" s="41"/>
    </row>
    <row r="44" spans="2:12">
      <c r="I44" s="44"/>
      <c r="J44" s="45"/>
      <c r="K44" s="45"/>
      <c r="L44" s="46"/>
    </row>
    <row r="45" spans="2:12">
      <c r="I45" s="44"/>
      <c r="J45" s="45"/>
      <c r="K45" s="45"/>
      <c r="L45" s="46"/>
    </row>
    <row r="46" spans="2:12">
      <c r="I46" s="44"/>
      <c r="J46" s="47"/>
      <c r="K46" s="45"/>
      <c r="L46" s="46"/>
    </row>
    <row r="47" spans="2:12">
      <c r="I47" s="42"/>
      <c r="J47" s="45"/>
      <c r="K47" s="45"/>
      <c r="L47" s="46"/>
    </row>
  </sheetData>
  <mergeCells count="25">
    <mergeCell ref="I35:I39"/>
    <mergeCell ref="B42:C42"/>
    <mergeCell ref="I41:L41"/>
    <mergeCell ref="C11:C13"/>
    <mergeCell ref="I11:I13"/>
    <mergeCell ref="C15:C19"/>
    <mergeCell ref="I15:I19"/>
    <mergeCell ref="C25:C30"/>
    <mergeCell ref="C31:C33"/>
    <mergeCell ref="C35:C39"/>
    <mergeCell ref="B22:F22"/>
    <mergeCell ref="B23:E23"/>
    <mergeCell ref="C41:E41"/>
    <mergeCell ref="B1:R2"/>
    <mergeCell ref="H23:L23"/>
    <mergeCell ref="I25:I30"/>
    <mergeCell ref="I31:I33"/>
    <mergeCell ref="O11:O13"/>
    <mergeCell ref="O15:O19"/>
    <mergeCell ref="B3:F3"/>
    <mergeCell ref="H3:L3"/>
    <mergeCell ref="N3:R3"/>
    <mergeCell ref="C5:C10"/>
    <mergeCell ref="I5:I10"/>
    <mergeCell ref="O5:O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
  <sheetViews>
    <sheetView topLeftCell="A5" workbookViewId="0">
      <selection sqref="A1:M11"/>
    </sheetView>
  </sheetViews>
  <sheetFormatPr baseColWidth="10" defaultColWidth="9.140625" defaultRowHeight="15"/>
  <cols>
    <col min="1" max="1" width="24.5703125" style="2" customWidth="1"/>
    <col min="2" max="2" width="20.85546875" style="2" customWidth="1"/>
    <col min="3" max="3" width="12.140625" style="2" customWidth="1"/>
    <col min="4" max="4" width="14.5703125" style="2" customWidth="1"/>
    <col min="5" max="5" width="13.5703125" style="2" customWidth="1"/>
    <col min="6" max="6" width="14.85546875" style="2" customWidth="1"/>
    <col min="7" max="7" width="11.85546875" style="2" customWidth="1"/>
    <col min="8" max="8" width="14.5703125" style="2" customWidth="1"/>
    <col min="9" max="9" width="12.7109375" style="2" customWidth="1"/>
    <col min="10" max="10" width="15.28515625" style="2" customWidth="1"/>
    <col min="11" max="11" width="13.140625" style="2" customWidth="1"/>
    <col min="12" max="12" width="14.28515625" style="2" customWidth="1"/>
    <col min="13" max="16384" width="9.140625" style="2"/>
  </cols>
  <sheetData>
    <row r="1" spans="1:13" s="3" customFormat="1" ht="30">
      <c r="A1" s="3" t="s">
        <v>566</v>
      </c>
      <c r="B1" s="3" t="s">
        <v>567</v>
      </c>
      <c r="C1" s="3" t="s">
        <v>568</v>
      </c>
      <c r="D1" s="3" t="s">
        <v>569</v>
      </c>
      <c r="E1" s="3" t="s">
        <v>570</v>
      </c>
      <c r="F1" s="3" t="s">
        <v>574</v>
      </c>
      <c r="G1" s="3" t="s">
        <v>575</v>
      </c>
      <c r="H1" s="3" t="s">
        <v>579</v>
      </c>
      <c r="I1" s="3" t="s">
        <v>580</v>
      </c>
      <c r="J1" s="3" t="s">
        <v>584</v>
      </c>
      <c r="K1" s="3" t="s">
        <v>585</v>
      </c>
      <c r="L1" s="3" t="s">
        <v>644</v>
      </c>
      <c r="M1" s="3" t="s">
        <v>649</v>
      </c>
    </row>
    <row r="2" spans="1:13" ht="52.5" customHeight="1">
      <c r="A2" s="2" t="s">
        <v>119</v>
      </c>
      <c r="B2" s="2" t="s">
        <v>120</v>
      </c>
      <c r="C2" s="2">
        <v>100</v>
      </c>
      <c r="D2" s="2" t="s">
        <v>22</v>
      </c>
      <c r="E2" s="60" t="s">
        <v>11</v>
      </c>
      <c r="F2" s="2" t="s">
        <v>22</v>
      </c>
      <c r="G2" s="60" t="s">
        <v>22</v>
      </c>
      <c r="H2" s="2" t="s">
        <v>22</v>
      </c>
      <c r="I2" s="60" t="s">
        <v>22</v>
      </c>
      <c r="J2" s="2" t="s">
        <v>22</v>
      </c>
      <c r="K2" s="60" t="s">
        <v>22</v>
      </c>
      <c r="L2" s="2">
        <v>75</v>
      </c>
      <c r="M2" s="92"/>
    </row>
    <row r="3" spans="1:13" ht="45">
      <c r="A3" s="2" t="s">
        <v>121</v>
      </c>
      <c r="B3" s="2" t="s">
        <v>122</v>
      </c>
      <c r="C3" s="2">
        <v>3</v>
      </c>
      <c r="D3" s="2" t="s">
        <v>84</v>
      </c>
      <c r="E3" s="60" t="s">
        <v>11</v>
      </c>
      <c r="F3" s="2" t="s">
        <v>84</v>
      </c>
      <c r="G3" s="60" t="s">
        <v>84</v>
      </c>
      <c r="H3" s="2" t="s">
        <v>84</v>
      </c>
      <c r="I3" s="60" t="s">
        <v>84</v>
      </c>
      <c r="J3" s="2" t="s">
        <v>84</v>
      </c>
      <c r="K3" s="60" t="s">
        <v>84</v>
      </c>
      <c r="L3" s="2">
        <v>100</v>
      </c>
      <c r="M3" s="91"/>
    </row>
    <row r="4" spans="1:13" ht="85.5" customHeight="1">
      <c r="A4" s="2" t="s">
        <v>123</v>
      </c>
      <c r="B4" s="2" t="s">
        <v>124</v>
      </c>
      <c r="C4" s="2">
        <v>10</v>
      </c>
      <c r="D4" s="2" t="s">
        <v>10</v>
      </c>
      <c r="E4" s="60" t="s">
        <v>11</v>
      </c>
      <c r="F4" s="2" t="s">
        <v>125</v>
      </c>
      <c r="G4" s="60" t="s">
        <v>125</v>
      </c>
      <c r="H4" s="2" t="s">
        <v>16</v>
      </c>
      <c r="I4" s="60" t="s">
        <v>16</v>
      </c>
      <c r="J4" s="2" t="s">
        <v>16</v>
      </c>
      <c r="K4" s="60" t="s">
        <v>16</v>
      </c>
      <c r="L4" s="2">
        <v>100</v>
      </c>
      <c r="M4" s="91"/>
    </row>
    <row r="5" spans="1:13" ht="60">
      <c r="A5" s="2" t="s">
        <v>126</v>
      </c>
      <c r="B5" s="2" t="s">
        <v>127</v>
      </c>
      <c r="C5" s="2">
        <v>3</v>
      </c>
      <c r="D5" s="2" t="s">
        <v>84</v>
      </c>
      <c r="E5" s="60" t="s">
        <v>11</v>
      </c>
      <c r="F5" s="2" t="s">
        <v>84</v>
      </c>
      <c r="G5" s="60" t="s">
        <v>84</v>
      </c>
      <c r="H5" s="2" t="s">
        <v>84</v>
      </c>
      <c r="I5" s="60" t="s">
        <v>84</v>
      </c>
      <c r="J5" s="2" t="s">
        <v>84</v>
      </c>
      <c r="K5" s="60" t="s">
        <v>11</v>
      </c>
      <c r="L5" s="2">
        <v>100</v>
      </c>
      <c r="M5" s="91"/>
    </row>
    <row r="6" spans="1:13" ht="45">
      <c r="A6" s="2" t="s">
        <v>128</v>
      </c>
      <c r="B6" s="2" t="s">
        <v>129</v>
      </c>
      <c r="C6" s="2">
        <v>3</v>
      </c>
      <c r="D6" s="2" t="s">
        <v>84</v>
      </c>
      <c r="E6" s="60" t="s">
        <v>11</v>
      </c>
      <c r="F6" s="2" t="s">
        <v>84</v>
      </c>
      <c r="G6" s="60" t="s">
        <v>84</v>
      </c>
      <c r="H6" s="2" t="s">
        <v>84</v>
      </c>
      <c r="I6" s="60" t="s">
        <v>84</v>
      </c>
      <c r="J6" s="2" t="s">
        <v>84</v>
      </c>
      <c r="K6" s="60" t="s">
        <v>84</v>
      </c>
      <c r="L6" s="2">
        <v>100</v>
      </c>
      <c r="M6" s="91"/>
    </row>
    <row r="7" spans="1:13" ht="45">
      <c r="A7" s="2" t="s">
        <v>130</v>
      </c>
      <c r="B7" s="2" t="s">
        <v>131</v>
      </c>
      <c r="C7" s="2">
        <v>1475676</v>
      </c>
      <c r="D7" s="2" t="s">
        <v>132</v>
      </c>
      <c r="E7" s="60" t="s">
        <v>132</v>
      </c>
      <c r="F7" s="2" t="s">
        <v>132</v>
      </c>
      <c r="G7" s="60" t="s">
        <v>133</v>
      </c>
      <c r="H7" s="2" t="s">
        <v>132</v>
      </c>
      <c r="I7" s="60" t="s">
        <v>134</v>
      </c>
      <c r="J7" s="2" t="s">
        <v>132</v>
      </c>
      <c r="K7" s="60">
        <v>1286032</v>
      </c>
      <c r="L7" s="2">
        <v>100</v>
      </c>
      <c r="M7" s="91"/>
    </row>
    <row r="8" spans="1:13" ht="45">
      <c r="A8" s="2" t="s">
        <v>135</v>
      </c>
      <c r="B8" s="2" t="s">
        <v>136</v>
      </c>
      <c r="C8" s="2">
        <v>3110</v>
      </c>
      <c r="D8" s="2" t="s">
        <v>10</v>
      </c>
      <c r="E8" s="60" t="s">
        <v>11</v>
      </c>
      <c r="F8" s="2" t="s">
        <v>137</v>
      </c>
      <c r="G8" s="60" t="s">
        <v>138</v>
      </c>
      <c r="H8" s="2" t="s">
        <v>137</v>
      </c>
      <c r="I8" s="60" t="s">
        <v>139</v>
      </c>
      <c r="J8" s="2" t="s">
        <v>137</v>
      </c>
      <c r="K8" s="60">
        <v>4025</v>
      </c>
      <c r="L8" s="2">
        <v>100</v>
      </c>
      <c r="M8" s="91"/>
    </row>
    <row r="9" spans="1:13" ht="75">
      <c r="A9" s="2" t="s">
        <v>141</v>
      </c>
      <c r="B9" s="2" t="s">
        <v>142</v>
      </c>
      <c r="C9" s="2">
        <v>1130</v>
      </c>
      <c r="D9" s="2" t="s">
        <v>10</v>
      </c>
      <c r="E9" s="60" t="s">
        <v>11</v>
      </c>
      <c r="F9" s="2" t="s">
        <v>143</v>
      </c>
      <c r="G9" s="60" t="s">
        <v>144</v>
      </c>
      <c r="H9" s="2" t="s">
        <v>10</v>
      </c>
      <c r="I9" s="60" t="s">
        <v>11</v>
      </c>
      <c r="J9" s="2" t="s">
        <v>143</v>
      </c>
      <c r="K9" s="60" t="s">
        <v>145</v>
      </c>
      <c r="L9" s="2">
        <v>100</v>
      </c>
      <c r="M9" s="91"/>
    </row>
    <row r="10" spans="1:13" ht="94.5" customHeight="1">
      <c r="A10" s="2" t="s">
        <v>146</v>
      </c>
      <c r="B10" s="2" t="s">
        <v>147</v>
      </c>
      <c r="C10" s="2">
        <v>1561</v>
      </c>
      <c r="D10" s="2" t="s">
        <v>148</v>
      </c>
      <c r="E10" s="60" t="s">
        <v>148</v>
      </c>
      <c r="F10" s="2" t="s">
        <v>148</v>
      </c>
      <c r="G10" s="60" t="s">
        <v>149</v>
      </c>
      <c r="H10" s="2" t="s">
        <v>148</v>
      </c>
      <c r="I10" s="60" t="s">
        <v>150</v>
      </c>
      <c r="J10" s="2" t="s">
        <v>148</v>
      </c>
      <c r="K10" s="60">
        <v>1328</v>
      </c>
      <c r="L10" s="2">
        <v>100</v>
      </c>
      <c r="M10" s="91"/>
    </row>
    <row r="11" spans="1:13" ht="92.25" customHeight="1">
      <c r="A11" s="2" t="s">
        <v>151</v>
      </c>
      <c r="B11" s="2" t="s">
        <v>152</v>
      </c>
      <c r="C11" s="2">
        <v>3</v>
      </c>
      <c r="D11" s="2" t="s">
        <v>10</v>
      </c>
      <c r="E11" s="60" t="s">
        <v>11</v>
      </c>
      <c r="F11" s="2" t="s">
        <v>84</v>
      </c>
      <c r="G11" s="60" t="s">
        <v>29</v>
      </c>
      <c r="H11" s="2" t="s">
        <v>10</v>
      </c>
      <c r="I11" s="60" t="s">
        <v>11</v>
      </c>
      <c r="J11" s="2" t="s">
        <v>84</v>
      </c>
      <c r="K11" s="60" t="s">
        <v>84</v>
      </c>
      <c r="L11" s="2">
        <v>100</v>
      </c>
      <c r="M11" s="91"/>
    </row>
    <row r="12" spans="1:13">
      <c r="L12" s="2">
        <f>SUBTOTAL(109,ReporteAvancePlanIndicativo39[Consolidado 2020 - 2023*])/10</f>
        <v>97.5</v>
      </c>
    </row>
  </sheetData>
  <phoneticPr fontId="4" type="noConversion"/>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2F44-096A-4189-9DA0-68EDBDDD25B2}">
  <dimension ref="A1:W12"/>
  <sheetViews>
    <sheetView topLeftCell="G1" workbookViewId="0">
      <selection activeCell="U1" sqref="U1"/>
    </sheetView>
  </sheetViews>
  <sheetFormatPr baseColWidth="10" defaultColWidth="9.140625" defaultRowHeight="15"/>
  <cols>
    <col min="1" max="1" width="25.28515625" style="2" customWidth="1"/>
    <col min="2" max="2" width="26.42578125" style="2" customWidth="1"/>
    <col min="3" max="4" width="13.85546875" style="2" customWidth="1"/>
    <col min="5" max="5" width="12.7109375" style="2" customWidth="1"/>
    <col min="6" max="6" width="12.42578125" style="2" customWidth="1"/>
    <col min="7" max="7" width="13.85546875" style="2" customWidth="1"/>
    <col min="8" max="8" width="17" style="2" customWidth="1"/>
    <col min="9" max="9" width="13.85546875" style="2" customWidth="1"/>
    <col min="10" max="10" width="12.140625" style="2" customWidth="1"/>
    <col min="11" max="11" width="12.42578125" style="2" customWidth="1"/>
    <col min="12" max="14" width="13.85546875" style="2" customWidth="1"/>
    <col min="15" max="15" width="12.5703125" style="2" customWidth="1"/>
    <col min="16" max="16" width="12.28515625" style="2" customWidth="1"/>
    <col min="17" max="17" width="13.85546875" style="2" customWidth="1"/>
    <col min="18" max="18" width="21.28515625" style="2" customWidth="1"/>
    <col min="19" max="19" width="13.85546875" style="2" customWidth="1"/>
    <col min="20" max="20" width="13.140625" style="2" customWidth="1"/>
    <col min="21" max="21" width="12.28515625" style="2" customWidth="1"/>
    <col min="22" max="22" width="13.85546875" style="2" customWidth="1"/>
    <col min="23" max="23" width="20.140625" style="2" customWidth="1"/>
    <col min="24" max="24" width="13.85546875" style="2" customWidth="1"/>
    <col min="25" max="16384" width="9.140625" style="2"/>
  </cols>
  <sheetData>
    <row r="1" spans="1:23" s="3" customFormat="1" ht="30">
      <c r="A1" s="3" t="s">
        <v>566</v>
      </c>
      <c r="B1" s="3" t="s">
        <v>567</v>
      </c>
      <c r="C1" s="3" t="s">
        <v>568</v>
      </c>
      <c r="D1" s="3" t="s">
        <v>569</v>
      </c>
      <c r="E1" s="3" t="s">
        <v>570</v>
      </c>
      <c r="F1" s="3" t="s">
        <v>571</v>
      </c>
      <c r="G1" s="3" t="s">
        <v>572</v>
      </c>
      <c r="H1" s="3" t="s">
        <v>573</v>
      </c>
      <c r="I1" s="3" t="s">
        <v>574</v>
      </c>
      <c r="J1" s="3" t="s">
        <v>575</v>
      </c>
      <c r="K1" s="3" t="s">
        <v>576</v>
      </c>
      <c r="L1" s="3" t="s">
        <v>577</v>
      </c>
      <c r="M1" s="3" t="s">
        <v>578</v>
      </c>
      <c r="N1" s="3" t="s">
        <v>579</v>
      </c>
      <c r="O1" s="3" t="s">
        <v>580</v>
      </c>
      <c r="P1" s="3" t="s">
        <v>581</v>
      </c>
      <c r="Q1" s="3" t="s">
        <v>582</v>
      </c>
      <c r="R1" s="3" t="s">
        <v>583</v>
      </c>
      <c r="S1" s="3" t="s">
        <v>584</v>
      </c>
      <c r="T1" s="3" t="s">
        <v>585</v>
      </c>
      <c r="U1" s="3" t="s">
        <v>586</v>
      </c>
      <c r="V1" s="3" t="s">
        <v>587</v>
      </c>
      <c r="W1" s="3" t="s">
        <v>588</v>
      </c>
    </row>
    <row r="2" spans="1:23" ht="39" customHeight="1">
      <c r="A2" s="2" t="s">
        <v>1</v>
      </c>
      <c r="B2" s="2" t="s">
        <v>2</v>
      </c>
      <c r="C2" s="2">
        <v>4000</v>
      </c>
      <c r="D2" s="2" t="s">
        <v>3</v>
      </c>
      <c r="E2" s="2" t="s">
        <v>3</v>
      </c>
      <c r="F2" s="2">
        <v>100</v>
      </c>
      <c r="G2" s="2" t="s">
        <v>5</v>
      </c>
      <c r="I2" s="2" t="s">
        <v>3</v>
      </c>
      <c r="J2" s="2" t="s">
        <v>3</v>
      </c>
      <c r="K2" s="2">
        <v>100</v>
      </c>
      <c r="L2" s="2" t="s">
        <v>5</v>
      </c>
      <c r="N2" s="2" t="s">
        <v>3</v>
      </c>
      <c r="O2" s="2" t="s">
        <v>6</v>
      </c>
      <c r="P2" s="2">
        <v>100</v>
      </c>
      <c r="Q2" s="2" t="s">
        <v>5</v>
      </c>
      <c r="S2" s="2" t="s">
        <v>3</v>
      </c>
      <c r="T2" s="2">
        <v>5467</v>
      </c>
      <c r="U2" s="2">
        <v>100</v>
      </c>
      <c r="V2" s="2" t="s">
        <v>5</v>
      </c>
      <c r="W2" s="2" t="s">
        <v>140</v>
      </c>
    </row>
    <row r="3" spans="1:23" ht="109.5" customHeight="1">
      <c r="A3" s="2" t="s">
        <v>8</v>
      </c>
      <c r="B3" s="2" t="s">
        <v>9</v>
      </c>
      <c r="C3" s="2">
        <v>4</v>
      </c>
      <c r="D3" s="2" t="s">
        <v>10</v>
      </c>
      <c r="E3" s="2" t="s">
        <v>11</v>
      </c>
      <c r="F3" s="2">
        <v>0</v>
      </c>
      <c r="I3" s="2" t="s">
        <v>13</v>
      </c>
      <c r="J3" s="2" t="s">
        <v>7</v>
      </c>
      <c r="K3" s="2">
        <v>0</v>
      </c>
      <c r="L3" s="2" t="s">
        <v>14</v>
      </c>
      <c r="N3" s="2" t="s">
        <v>13</v>
      </c>
      <c r="O3" s="2" t="s">
        <v>13</v>
      </c>
      <c r="P3" s="2">
        <v>100</v>
      </c>
      <c r="Q3" s="2" t="s">
        <v>5</v>
      </c>
      <c r="R3" s="2" t="s">
        <v>15</v>
      </c>
      <c r="S3" s="2" t="s">
        <v>13</v>
      </c>
      <c r="T3" s="2">
        <v>2</v>
      </c>
      <c r="U3" s="2">
        <v>100</v>
      </c>
      <c r="V3" s="2" t="s">
        <v>5</v>
      </c>
      <c r="W3" s="2" t="s">
        <v>19</v>
      </c>
    </row>
    <row r="4" spans="1:23" ht="111" customHeight="1">
      <c r="A4" s="2" t="s">
        <v>20</v>
      </c>
      <c r="B4" s="2" t="s">
        <v>21</v>
      </c>
      <c r="C4" s="2">
        <v>100</v>
      </c>
      <c r="D4" s="2" t="s">
        <v>22</v>
      </c>
      <c r="E4" s="2" t="s">
        <v>11</v>
      </c>
      <c r="F4" s="2">
        <v>0</v>
      </c>
      <c r="G4" s="2" t="s">
        <v>14</v>
      </c>
      <c r="H4" s="2" t="s">
        <v>23</v>
      </c>
      <c r="I4" s="2" t="s">
        <v>22</v>
      </c>
      <c r="J4" s="2" t="s">
        <v>24</v>
      </c>
      <c r="K4" s="2">
        <v>2</v>
      </c>
      <c r="L4" s="2" t="s">
        <v>14</v>
      </c>
      <c r="N4" s="2" t="s">
        <v>22</v>
      </c>
      <c r="O4" s="2" t="s">
        <v>22</v>
      </c>
      <c r="P4" s="2">
        <v>100</v>
      </c>
      <c r="Q4" s="2" t="s">
        <v>5</v>
      </c>
      <c r="R4" s="2" t="s">
        <v>25</v>
      </c>
      <c r="S4" s="2" t="s">
        <v>22</v>
      </c>
      <c r="T4" s="2">
        <v>112</v>
      </c>
      <c r="U4" s="2">
        <v>100</v>
      </c>
      <c r="V4" s="2" t="s">
        <v>5</v>
      </c>
      <c r="W4" s="2" t="s">
        <v>26</v>
      </c>
    </row>
    <row r="5" spans="1:23" ht="75">
      <c r="A5" s="2" t="s">
        <v>27</v>
      </c>
      <c r="B5" s="2" t="s">
        <v>28</v>
      </c>
      <c r="C5" s="2">
        <v>4000</v>
      </c>
      <c r="D5" s="2" t="s">
        <v>3</v>
      </c>
      <c r="E5" s="2" t="s">
        <v>29</v>
      </c>
      <c r="F5" s="2">
        <v>0</v>
      </c>
      <c r="G5" s="2" t="s">
        <v>14</v>
      </c>
      <c r="H5" s="2" t="s">
        <v>30</v>
      </c>
      <c r="I5" s="2" t="s">
        <v>3</v>
      </c>
      <c r="J5" s="2" t="s">
        <v>3</v>
      </c>
      <c r="K5" s="2">
        <v>100</v>
      </c>
      <c r="L5" s="2" t="s">
        <v>5</v>
      </c>
      <c r="N5" s="2" t="s">
        <v>3</v>
      </c>
      <c r="O5" s="2" t="s">
        <v>31</v>
      </c>
      <c r="P5" s="2">
        <v>100</v>
      </c>
      <c r="Q5" s="2" t="s">
        <v>5</v>
      </c>
      <c r="S5" s="2" t="s">
        <v>3</v>
      </c>
      <c r="T5" s="2" t="s">
        <v>32</v>
      </c>
      <c r="U5" s="2">
        <v>100</v>
      </c>
      <c r="V5" s="2" t="s">
        <v>5</v>
      </c>
      <c r="W5" s="2" t="s">
        <v>140</v>
      </c>
    </row>
    <row r="6" spans="1:23" ht="60">
      <c r="A6" s="2" t="s">
        <v>33</v>
      </c>
      <c r="B6" s="2" t="s">
        <v>34</v>
      </c>
      <c r="C6" s="2">
        <v>4</v>
      </c>
      <c r="D6" s="2" t="s">
        <v>16</v>
      </c>
      <c r="E6" s="2" t="s">
        <v>29</v>
      </c>
      <c r="F6" s="2">
        <v>0</v>
      </c>
      <c r="G6" s="2" t="s">
        <v>14</v>
      </c>
      <c r="H6" s="2" t="s">
        <v>35</v>
      </c>
      <c r="I6" s="2" t="s">
        <v>16</v>
      </c>
      <c r="J6" s="2" t="s">
        <v>16</v>
      </c>
      <c r="K6" s="2">
        <v>100</v>
      </c>
      <c r="L6" s="2" t="s">
        <v>5</v>
      </c>
      <c r="N6" s="2" t="s">
        <v>16</v>
      </c>
      <c r="O6" s="2" t="s">
        <v>16</v>
      </c>
      <c r="P6" s="2">
        <v>100</v>
      </c>
      <c r="Q6" s="2" t="s">
        <v>5</v>
      </c>
      <c r="S6" s="2" t="s">
        <v>16</v>
      </c>
      <c r="T6" s="2" t="s">
        <v>16</v>
      </c>
      <c r="U6" s="2">
        <v>100</v>
      </c>
      <c r="V6" s="2" t="s">
        <v>5</v>
      </c>
      <c r="W6" s="2" t="s">
        <v>140</v>
      </c>
    </row>
    <row r="7" spans="1:23" ht="45">
      <c r="A7" s="2" t="s">
        <v>36</v>
      </c>
      <c r="B7" s="2" t="s">
        <v>37</v>
      </c>
      <c r="C7" s="2">
        <v>4</v>
      </c>
      <c r="D7" s="2" t="s">
        <v>16</v>
      </c>
      <c r="E7" s="2" t="s">
        <v>11</v>
      </c>
      <c r="F7" s="2">
        <v>0</v>
      </c>
      <c r="G7" s="2" t="s">
        <v>14</v>
      </c>
      <c r="I7" s="2" t="s">
        <v>16</v>
      </c>
      <c r="J7" s="2" t="s">
        <v>16</v>
      </c>
      <c r="K7" s="2">
        <v>100</v>
      </c>
      <c r="L7" s="2" t="s">
        <v>5</v>
      </c>
      <c r="N7" s="2" t="s">
        <v>16</v>
      </c>
      <c r="O7" s="2" t="s">
        <v>16</v>
      </c>
      <c r="P7" s="2">
        <v>100</v>
      </c>
      <c r="Q7" s="2" t="s">
        <v>5</v>
      </c>
      <c r="S7" s="2" t="s">
        <v>16</v>
      </c>
      <c r="T7" s="2" t="s">
        <v>16</v>
      </c>
      <c r="U7" s="2">
        <v>100</v>
      </c>
      <c r="V7" s="2" t="s">
        <v>5</v>
      </c>
    </row>
    <row r="8" spans="1:23" ht="45">
      <c r="A8" s="2" t="s">
        <v>38</v>
      </c>
      <c r="B8" s="2" t="s">
        <v>39</v>
      </c>
      <c r="C8" s="2">
        <v>4</v>
      </c>
      <c r="D8" s="2" t="s">
        <v>10</v>
      </c>
      <c r="E8" s="2" t="s">
        <v>11</v>
      </c>
      <c r="F8" s="2">
        <v>0</v>
      </c>
      <c r="I8" s="2" t="s">
        <v>16</v>
      </c>
      <c r="J8" s="2" t="s">
        <v>16</v>
      </c>
      <c r="K8" s="2">
        <v>100</v>
      </c>
      <c r="L8" s="2" t="s">
        <v>5</v>
      </c>
      <c r="N8" s="2" t="s">
        <v>13</v>
      </c>
      <c r="O8" s="2" t="s">
        <v>13</v>
      </c>
      <c r="P8" s="2">
        <v>100</v>
      </c>
      <c r="Q8" s="2" t="s">
        <v>5</v>
      </c>
      <c r="S8" s="2" t="s">
        <v>16</v>
      </c>
      <c r="T8" s="2">
        <v>3</v>
      </c>
      <c r="U8" s="2">
        <v>100</v>
      </c>
      <c r="V8" s="2" t="s">
        <v>5</v>
      </c>
      <c r="W8" s="2" t="s">
        <v>140</v>
      </c>
    </row>
    <row r="9" spans="1:23" ht="45">
      <c r="A9" s="2" t="s">
        <v>40</v>
      </c>
      <c r="B9" s="2" t="s">
        <v>41</v>
      </c>
      <c r="C9" s="2">
        <v>160</v>
      </c>
      <c r="D9" s="2" t="s">
        <v>42</v>
      </c>
      <c r="E9" s="2" t="s">
        <v>42</v>
      </c>
      <c r="F9" s="2">
        <v>100</v>
      </c>
      <c r="G9" s="2" t="s">
        <v>5</v>
      </c>
      <c r="I9" s="2" t="s">
        <v>42</v>
      </c>
      <c r="J9" s="2" t="s">
        <v>42</v>
      </c>
      <c r="K9" s="2">
        <v>100</v>
      </c>
      <c r="L9" s="2" t="s">
        <v>5</v>
      </c>
      <c r="N9" s="2" t="s">
        <v>42</v>
      </c>
      <c r="O9" s="2" t="s">
        <v>43</v>
      </c>
      <c r="P9" s="2">
        <v>100</v>
      </c>
      <c r="Q9" s="2" t="s">
        <v>5</v>
      </c>
      <c r="S9" s="2" t="s">
        <v>42</v>
      </c>
      <c r="T9" s="2" t="s">
        <v>487</v>
      </c>
      <c r="U9" s="2">
        <v>100</v>
      </c>
      <c r="V9" s="2" t="s">
        <v>5</v>
      </c>
      <c r="W9" s="2" t="s">
        <v>140</v>
      </c>
    </row>
    <row r="10" spans="1:23" ht="45">
      <c r="A10" s="2" t="s">
        <v>226</v>
      </c>
      <c r="B10" s="2" t="s">
        <v>227</v>
      </c>
      <c r="C10" s="2">
        <v>1</v>
      </c>
      <c r="D10" s="2" t="s">
        <v>10</v>
      </c>
      <c r="E10" s="2" t="s">
        <v>11</v>
      </c>
      <c r="F10" s="2">
        <v>0</v>
      </c>
      <c r="I10" s="2" t="s">
        <v>24</v>
      </c>
      <c r="J10" s="2" t="s">
        <v>7</v>
      </c>
      <c r="K10" s="2">
        <v>0</v>
      </c>
      <c r="L10" s="2" t="s">
        <v>14</v>
      </c>
      <c r="N10" s="2" t="s">
        <v>91</v>
      </c>
      <c r="O10" s="2" t="s">
        <v>91</v>
      </c>
      <c r="P10" s="2">
        <v>100</v>
      </c>
      <c r="Q10" s="2" t="s">
        <v>5</v>
      </c>
      <c r="S10" s="2" t="s">
        <v>91</v>
      </c>
      <c r="T10" s="2" t="s">
        <v>91</v>
      </c>
      <c r="U10" s="2">
        <v>100</v>
      </c>
      <c r="V10" s="2" t="s">
        <v>5</v>
      </c>
      <c r="W10" s="2" t="s">
        <v>140</v>
      </c>
    </row>
    <row r="11" spans="1:23" ht="75">
      <c r="A11" s="2" t="s">
        <v>228</v>
      </c>
      <c r="B11" s="2" t="s">
        <v>229</v>
      </c>
      <c r="C11" s="2">
        <v>1</v>
      </c>
      <c r="D11" s="2" t="s">
        <v>230</v>
      </c>
      <c r="E11" s="2" t="s">
        <v>29</v>
      </c>
      <c r="F11" s="2">
        <v>0</v>
      </c>
      <c r="G11" s="2" t="s">
        <v>14</v>
      </c>
      <c r="H11" s="2" t="s">
        <v>231</v>
      </c>
      <c r="I11" s="2" t="s">
        <v>78</v>
      </c>
      <c r="J11" s="2" t="s">
        <v>78</v>
      </c>
      <c r="K11" s="2">
        <v>100</v>
      </c>
      <c r="L11" s="2" t="s">
        <v>5</v>
      </c>
      <c r="N11" s="2" t="s">
        <v>91</v>
      </c>
      <c r="O11" s="2" t="s">
        <v>91</v>
      </c>
      <c r="P11" s="2">
        <v>100</v>
      </c>
      <c r="Q11" s="2" t="s">
        <v>5</v>
      </c>
      <c r="R11" s="2" t="s">
        <v>232</v>
      </c>
      <c r="S11" s="2" t="s">
        <v>91</v>
      </c>
      <c r="T11" s="2" t="s">
        <v>91</v>
      </c>
      <c r="U11" s="2">
        <v>100</v>
      </c>
      <c r="V11" s="2" t="s">
        <v>5</v>
      </c>
      <c r="W11" s="2" t="s">
        <v>140</v>
      </c>
    </row>
    <row r="12" spans="1:23">
      <c r="F12" s="2">
        <f>SUBTOTAL(109,ReporteAvancePlanIndicativo3721[% Avance 2020])/7</f>
        <v>28.571428571428573</v>
      </c>
      <c r="K12" s="2">
        <f>SUBTOTAL(109,ReporteAvancePlanIndicativo3721[% Avance 2021])/10</f>
        <v>70.2</v>
      </c>
      <c r="P12" s="2">
        <f>SUBTOTAL(109,ReporteAvancePlanIndicativo3721[% Avance 2022])/10</f>
        <v>100</v>
      </c>
      <c r="U12" s="2">
        <f>SUBTOTAL(109,ReporteAvancePlanIndicativo3721[% Avance 2023])/11</f>
        <v>90.909090909090907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3"/>
  <sheetViews>
    <sheetView topLeftCell="A4" workbookViewId="0">
      <selection activeCell="D14" sqref="D14"/>
    </sheetView>
  </sheetViews>
  <sheetFormatPr baseColWidth="10" defaultColWidth="9.140625" defaultRowHeight="15"/>
  <cols>
    <col min="1" max="1" width="25.28515625" style="2" customWidth="1"/>
    <col min="2" max="2" width="26.42578125" style="2" customWidth="1"/>
    <col min="3" max="4" width="13.85546875" style="2" customWidth="1"/>
    <col min="5" max="5" width="12.7109375" style="2" customWidth="1"/>
    <col min="6" max="6" width="13.85546875" style="2" customWidth="1"/>
    <col min="7" max="7" width="12.140625" style="2" customWidth="1"/>
    <col min="8" max="8" width="13.85546875" style="2" customWidth="1"/>
    <col min="9" max="9" width="12.5703125" style="2" customWidth="1"/>
    <col min="10" max="10" width="13.85546875" style="2" customWidth="1"/>
    <col min="11" max="11" width="13.140625" style="2" customWidth="1"/>
    <col min="12" max="12" width="13.85546875" style="2" customWidth="1"/>
    <col min="13" max="16384" width="9.140625" style="2"/>
  </cols>
  <sheetData>
    <row r="1" spans="1:13" s="3" customFormat="1" ht="30">
      <c r="A1" s="3" t="s">
        <v>566</v>
      </c>
      <c r="B1" s="3" t="s">
        <v>567</v>
      </c>
      <c r="C1" s="3" t="s">
        <v>568</v>
      </c>
      <c r="D1" s="3" t="s">
        <v>569</v>
      </c>
      <c r="E1" s="3" t="s">
        <v>570</v>
      </c>
      <c r="F1" s="3" t="s">
        <v>574</v>
      </c>
      <c r="G1" s="3" t="s">
        <v>575</v>
      </c>
      <c r="H1" s="3" t="s">
        <v>579</v>
      </c>
      <c r="I1" s="3" t="s">
        <v>580</v>
      </c>
      <c r="J1" s="3" t="s">
        <v>584</v>
      </c>
      <c r="K1" s="3" t="s">
        <v>585</v>
      </c>
      <c r="L1" s="3" t="s">
        <v>644</v>
      </c>
      <c r="M1" s="3" t="s">
        <v>649</v>
      </c>
    </row>
    <row r="2" spans="1:13" ht="39" customHeight="1">
      <c r="A2" s="2" t="s">
        <v>1</v>
      </c>
      <c r="B2" s="2" t="s">
        <v>2</v>
      </c>
      <c r="C2" s="2">
        <v>4000</v>
      </c>
      <c r="D2" s="2" t="s">
        <v>3</v>
      </c>
      <c r="E2" s="60" t="s">
        <v>3</v>
      </c>
      <c r="F2" s="2" t="s">
        <v>3</v>
      </c>
      <c r="G2" s="60" t="s">
        <v>3</v>
      </c>
      <c r="H2" s="2" t="s">
        <v>3</v>
      </c>
      <c r="I2" s="60" t="s">
        <v>6</v>
      </c>
      <c r="J2" s="2" t="s">
        <v>3</v>
      </c>
      <c r="K2" s="2">
        <v>5467</v>
      </c>
      <c r="L2" s="2">
        <v>100</v>
      </c>
      <c r="M2" s="91"/>
    </row>
    <row r="3" spans="1:13" ht="109.5" customHeight="1">
      <c r="A3" s="2" t="s">
        <v>8</v>
      </c>
      <c r="B3" s="2" t="s">
        <v>9</v>
      </c>
      <c r="C3" s="2">
        <v>4</v>
      </c>
      <c r="D3" s="2" t="s">
        <v>10</v>
      </c>
      <c r="E3" s="60" t="s">
        <v>11</v>
      </c>
      <c r="F3" s="2" t="s">
        <v>13</v>
      </c>
      <c r="G3" s="60" t="s">
        <v>7</v>
      </c>
      <c r="H3" s="2" t="s">
        <v>13</v>
      </c>
      <c r="I3" s="60" t="s">
        <v>13</v>
      </c>
      <c r="J3" s="2" t="s">
        <v>13</v>
      </c>
      <c r="K3" s="60">
        <v>2</v>
      </c>
      <c r="L3" s="2">
        <v>100</v>
      </c>
      <c r="M3" s="91"/>
    </row>
    <row r="4" spans="1:13" ht="111" customHeight="1">
      <c r="A4" s="2" t="s">
        <v>20</v>
      </c>
      <c r="B4" s="2" t="s">
        <v>21</v>
      </c>
      <c r="C4" s="2">
        <v>100</v>
      </c>
      <c r="D4" s="2" t="s">
        <v>22</v>
      </c>
      <c r="E4" s="60" t="s">
        <v>11</v>
      </c>
      <c r="F4" s="2" t="s">
        <v>22</v>
      </c>
      <c r="G4" s="60" t="s">
        <v>24</v>
      </c>
      <c r="H4" s="2" t="s">
        <v>22</v>
      </c>
      <c r="I4" s="60" t="s">
        <v>22</v>
      </c>
      <c r="J4" s="2" t="s">
        <v>22</v>
      </c>
      <c r="K4" s="60">
        <v>112</v>
      </c>
      <c r="L4" s="2">
        <v>100</v>
      </c>
      <c r="M4" s="91"/>
    </row>
    <row r="5" spans="1:13" ht="30">
      <c r="A5" s="2" t="s">
        <v>27</v>
      </c>
      <c r="B5" s="2" t="s">
        <v>28</v>
      </c>
      <c r="C5" s="2">
        <v>4000</v>
      </c>
      <c r="D5" s="2" t="s">
        <v>3</v>
      </c>
      <c r="E5" s="60" t="s">
        <v>29</v>
      </c>
      <c r="F5" s="2" t="s">
        <v>3</v>
      </c>
      <c r="G5" s="60" t="s">
        <v>3</v>
      </c>
      <c r="H5" s="2" t="s">
        <v>3</v>
      </c>
      <c r="I5" s="60" t="s">
        <v>31</v>
      </c>
      <c r="J5" s="2" t="s">
        <v>3</v>
      </c>
      <c r="K5" s="60" t="s">
        <v>32</v>
      </c>
      <c r="L5" s="2">
        <v>100</v>
      </c>
      <c r="M5" s="91"/>
    </row>
    <row r="6" spans="1:13" ht="60">
      <c r="A6" s="2" t="s">
        <v>33</v>
      </c>
      <c r="B6" s="2" t="s">
        <v>34</v>
      </c>
      <c r="C6" s="2">
        <v>4</v>
      </c>
      <c r="D6" s="2" t="s">
        <v>16</v>
      </c>
      <c r="E6" s="60" t="s">
        <v>29</v>
      </c>
      <c r="F6" s="2" t="s">
        <v>16</v>
      </c>
      <c r="G6" s="60" t="s">
        <v>16</v>
      </c>
      <c r="H6" s="2" t="s">
        <v>16</v>
      </c>
      <c r="I6" s="60" t="s">
        <v>16</v>
      </c>
      <c r="J6" s="2" t="s">
        <v>16</v>
      </c>
      <c r="K6" s="60" t="s">
        <v>16</v>
      </c>
      <c r="L6" s="2">
        <v>75</v>
      </c>
      <c r="M6" s="92"/>
    </row>
    <row r="7" spans="1:13" ht="45">
      <c r="A7" s="2" t="s">
        <v>36</v>
      </c>
      <c r="B7" s="2" t="s">
        <v>37</v>
      </c>
      <c r="C7" s="2">
        <v>4</v>
      </c>
      <c r="D7" s="2" t="s">
        <v>16</v>
      </c>
      <c r="E7" s="60" t="s">
        <v>11</v>
      </c>
      <c r="F7" s="2" t="s">
        <v>16</v>
      </c>
      <c r="G7" s="60" t="s">
        <v>16</v>
      </c>
      <c r="H7" s="2" t="s">
        <v>16</v>
      </c>
      <c r="I7" s="60" t="s">
        <v>16</v>
      </c>
      <c r="J7" s="2" t="s">
        <v>16</v>
      </c>
      <c r="K7" s="60" t="s">
        <v>16</v>
      </c>
      <c r="L7" s="2">
        <v>75</v>
      </c>
      <c r="M7" s="92"/>
    </row>
    <row r="8" spans="1:13" ht="45">
      <c r="A8" s="2" t="s">
        <v>38</v>
      </c>
      <c r="B8" s="2" t="s">
        <v>39</v>
      </c>
      <c r="C8" s="2">
        <v>4</v>
      </c>
      <c r="D8" s="2" t="s">
        <v>10</v>
      </c>
      <c r="E8" s="60" t="s">
        <v>11</v>
      </c>
      <c r="F8" s="2" t="s">
        <v>16</v>
      </c>
      <c r="G8" s="60" t="s">
        <v>16</v>
      </c>
      <c r="H8" s="2" t="s">
        <v>13</v>
      </c>
      <c r="I8" s="60" t="s">
        <v>13</v>
      </c>
      <c r="J8" s="2" t="s">
        <v>16</v>
      </c>
      <c r="K8" s="60">
        <v>3</v>
      </c>
      <c r="L8" s="2">
        <v>100</v>
      </c>
      <c r="M8" s="91"/>
    </row>
    <row r="9" spans="1:13" ht="45">
      <c r="A9" s="2" t="s">
        <v>40</v>
      </c>
      <c r="B9" s="2" t="s">
        <v>41</v>
      </c>
      <c r="C9" s="2">
        <v>160</v>
      </c>
      <c r="D9" s="2" t="s">
        <v>42</v>
      </c>
      <c r="E9" s="60" t="s">
        <v>42</v>
      </c>
      <c r="F9" s="2" t="s">
        <v>42</v>
      </c>
      <c r="G9" s="60" t="s">
        <v>42</v>
      </c>
      <c r="H9" s="2" t="s">
        <v>42</v>
      </c>
      <c r="I9" s="60" t="s">
        <v>43</v>
      </c>
      <c r="J9" s="2" t="s">
        <v>42</v>
      </c>
      <c r="K9" s="60" t="s">
        <v>487</v>
      </c>
      <c r="L9" s="2">
        <v>100</v>
      </c>
      <c r="M9" s="91"/>
    </row>
    <row r="10" spans="1:13" ht="45">
      <c r="A10" s="2" t="s">
        <v>226</v>
      </c>
      <c r="B10" s="2" t="s">
        <v>227</v>
      </c>
      <c r="C10" s="2">
        <v>1</v>
      </c>
      <c r="D10" s="2" t="s">
        <v>10</v>
      </c>
      <c r="E10" s="60" t="s">
        <v>11</v>
      </c>
      <c r="F10" s="2" t="s">
        <v>24</v>
      </c>
      <c r="G10" s="60" t="s">
        <v>7</v>
      </c>
      <c r="H10" s="2" t="s">
        <v>91</v>
      </c>
      <c r="I10" s="60" t="s">
        <v>91</v>
      </c>
      <c r="J10" s="2" t="s">
        <v>91</v>
      </c>
      <c r="K10" s="60" t="s">
        <v>91</v>
      </c>
      <c r="L10" s="2">
        <v>50</v>
      </c>
      <c r="M10" s="90"/>
    </row>
    <row r="11" spans="1:13" ht="45">
      <c r="A11" s="2" t="s">
        <v>228</v>
      </c>
      <c r="B11" s="2" t="s">
        <v>229</v>
      </c>
      <c r="C11" s="2">
        <v>1</v>
      </c>
      <c r="D11" s="2" t="s">
        <v>230</v>
      </c>
      <c r="E11" s="60" t="s">
        <v>29</v>
      </c>
      <c r="F11" s="2" t="s">
        <v>78</v>
      </c>
      <c r="G11" s="60" t="s">
        <v>78</v>
      </c>
      <c r="H11" s="2" t="s">
        <v>91</v>
      </c>
      <c r="I11" s="60" t="s">
        <v>91</v>
      </c>
      <c r="J11" s="2" t="s">
        <v>91</v>
      </c>
      <c r="K11" s="60" t="s">
        <v>91</v>
      </c>
      <c r="L11" s="2">
        <v>90</v>
      </c>
      <c r="M11" s="91"/>
    </row>
    <row r="12" spans="1:13">
      <c r="K12" s="60"/>
      <c r="L12" s="2">
        <f>SUBTOTAL(109,ReporteAvancePlanIndicativo37[Consolidado 2020 - 2023*])/10</f>
        <v>89</v>
      </c>
    </row>
    <row r="13" spans="1:13">
      <c r="K13" s="60"/>
    </row>
  </sheetData>
  <phoneticPr fontId="4" type="noConversion"/>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136A-CD54-46FD-A0B3-1A799BB5FC86}">
  <dimension ref="A1:W10"/>
  <sheetViews>
    <sheetView topLeftCell="F5" workbookViewId="0">
      <selection activeCell="P11" sqref="P11"/>
    </sheetView>
  </sheetViews>
  <sheetFormatPr baseColWidth="10" defaultColWidth="9.140625" defaultRowHeight="15"/>
  <cols>
    <col min="1" max="1" width="27.85546875" style="1" customWidth="1"/>
    <col min="2" max="2" width="27.7109375" style="1" customWidth="1"/>
    <col min="3" max="3" width="13.7109375" style="1" customWidth="1"/>
    <col min="4" max="4" width="12.7109375" style="1" customWidth="1"/>
    <col min="5" max="5" width="12.28515625" style="1" customWidth="1"/>
    <col min="6" max="6" width="12.140625" style="1" customWidth="1"/>
    <col min="7" max="8" width="15.140625" style="1" customWidth="1"/>
    <col min="9" max="9" width="12.28515625" style="1" customWidth="1"/>
    <col min="10" max="10" width="11.28515625" style="1" customWidth="1"/>
    <col min="11" max="11" width="12" style="1" customWidth="1"/>
    <col min="12" max="13" width="15.140625" style="1" customWidth="1"/>
    <col min="14" max="14" width="13.42578125" style="1" customWidth="1"/>
    <col min="15" max="15" width="12.140625" style="1" customWidth="1"/>
    <col min="16" max="16" width="12.7109375" style="1" customWidth="1"/>
    <col min="17" max="18" width="15.140625" style="1" customWidth="1"/>
    <col min="19" max="19" width="12.140625" style="1" customWidth="1"/>
    <col min="20" max="20" width="10.85546875" style="1" customWidth="1"/>
    <col min="21" max="21" width="13.42578125" style="1" customWidth="1"/>
    <col min="22" max="22" width="15.140625" style="1" customWidth="1"/>
    <col min="23" max="23" width="23.28515625" style="1" customWidth="1"/>
    <col min="24" max="24" width="15.140625" style="1" customWidth="1"/>
    <col min="25" max="16384" width="9.140625" style="1"/>
  </cols>
  <sheetData>
    <row r="1" spans="1:23" ht="30">
      <c r="A1" s="1" t="s">
        <v>566</v>
      </c>
      <c r="B1" s="1" t="s">
        <v>567</v>
      </c>
      <c r="C1" s="1" t="s">
        <v>568</v>
      </c>
      <c r="D1" s="1" t="s">
        <v>569</v>
      </c>
      <c r="E1" s="1" t="s">
        <v>570</v>
      </c>
      <c r="F1" s="1" t="s">
        <v>571</v>
      </c>
      <c r="G1" s="1" t="s">
        <v>572</v>
      </c>
      <c r="H1" s="1" t="s">
        <v>573</v>
      </c>
      <c r="I1" s="1" t="s">
        <v>574</v>
      </c>
      <c r="J1" s="1" t="s">
        <v>575</v>
      </c>
      <c r="K1" s="1" t="s">
        <v>576</v>
      </c>
      <c r="L1" s="1" t="s">
        <v>577</v>
      </c>
      <c r="M1" s="1" t="s">
        <v>578</v>
      </c>
      <c r="N1" s="1" t="s">
        <v>579</v>
      </c>
      <c r="O1" s="1" t="s">
        <v>580</v>
      </c>
      <c r="P1" s="1" t="s">
        <v>581</v>
      </c>
      <c r="Q1" s="1" t="s">
        <v>582</v>
      </c>
      <c r="R1" s="1" t="s">
        <v>583</v>
      </c>
      <c r="S1" s="1" t="s">
        <v>584</v>
      </c>
      <c r="T1" s="1" t="s">
        <v>585</v>
      </c>
      <c r="U1" s="1" t="s">
        <v>586</v>
      </c>
      <c r="V1" s="1" t="s">
        <v>587</v>
      </c>
      <c r="W1" s="1" t="s">
        <v>588</v>
      </c>
    </row>
    <row r="2" spans="1:23" ht="105.75" customHeight="1">
      <c r="A2" s="1" t="s">
        <v>153</v>
      </c>
      <c r="B2" s="1" t="s">
        <v>154</v>
      </c>
      <c r="C2" s="1">
        <v>3000</v>
      </c>
      <c r="D2" s="1" t="s">
        <v>95</v>
      </c>
      <c r="E2" s="1" t="s">
        <v>95</v>
      </c>
      <c r="F2" s="1">
        <v>100</v>
      </c>
      <c r="G2" s="1" t="s">
        <v>5</v>
      </c>
      <c r="I2" s="1" t="s">
        <v>98</v>
      </c>
      <c r="J2" s="1" t="s">
        <v>98</v>
      </c>
      <c r="K2" s="1">
        <v>100</v>
      </c>
      <c r="L2" s="1" t="s">
        <v>5</v>
      </c>
      <c r="N2" s="1" t="s">
        <v>98</v>
      </c>
      <c r="O2" s="1" t="s">
        <v>98</v>
      </c>
      <c r="P2" s="1">
        <v>100</v>
      </c>
      <c r="Q2" s="1" t="s">
        <v>5</v>
      </c>
      <c r="S2" s="1" t="s">
        <v>95</v>
      </c>
      <c r="T2" s="1">
        <v>510</v>
      </c>
      <c r="U2" s="1">
        <v>100</v>
      </c>
      <c r="V2" s="1" t="s">
        <v>5</v>
      </c>
      <c r="W2" s="1" t="s">
        <v>155</v>
      </c>
    </row>
    <row r="3" spans="1:23" ht="112.5" customHeight="1">
      <c r="A3" s="1" t="s">
        <v>156</v>
      </c>
      <c r="B3" s="1" t="s">
        <v>157</v>
      </c>
      <c r="C3" s="1">
        <v>40</v>
      </c>
      <c r="D3" s="1" t="s">
        <v>13</v>
      </c>
      <c r="E3" s="1" t="s">
        <v>13</v>
      </c>
      <c r="F3" s="1">
        <v>100</v>
      </c>
      <c r="G3" s="1" t="s">
        <v>5</v>
      </c>
      <c r="I3" s="1" t="s">
        <v>125</v>
      </c>
      <c r="J3" s="1" t="s">
        <v>125</v>
      </c>
      <c r="K3" s="1">
        <v>100</v>
      </c>
      <c r="L3" s="1" t="s">
        <v>5</v>
      </c>
      <c r="N3" s="1" t="s">
        <v>158</v>
      </c>
      <c r="O3" s="1" t="s">
        <v>159</v>
      </c>
      <c r="P3" s="1">
        <v>100</v>
      </c>
      <c r="Q3" s="1" t="s">
        <v>5</v>
      </c>
      <c r="S3" s="1" t="s">
        <v>158</v>
      </c>
      <c r="T3" s="1">
        <v>16</v>
      </c>
      <c r="U3" s="1">
        <v>100</v>
      </c>
      <c r="V3" s="1" t="s">
        <v>5</v>
      </c>
      <c r="W3" s="1" t="s">
        <v>160</v>
      </c>
    </row>
    <row r="4" spans="1:23" ht="30">
      <c r="A4" s="1" t="s">
        <v>161</v>
      </c>
      <c r="B4" s="1" t="s">
        <v>162</v>
      </c>
      <c r="C4" s="1">
        <v>60</v>
      </c>
      <c r="D4" s="1" t="s">
        <v>163</v>
      </c>
      <c r="E4" s="1" t="s">
        <v>163</v>
      </c>
      <c r="F4" s="1">
        <v>100</v>
      </c>
      <c r="G4" s="1" t="s">
        <v>5</v>
      </c>
      <c r="I4" s="1" t="s">
        <v>163</v>
      </c>
      <c r="J4" s="1" t="s">
        <v>164</v>
      </c>
      <c r="K4" s="1">
        <v>100</v>
      </c>
      <c r="L4" s="1" t="s">
        <v>5</v>
      </c>
      <c r="N4" s="1" t="s">
        <v>163</v>
      </c>
      <c r="O4" s="1" t="s">
        <v>163</v>
      </c>
      <c r="P4" s="1">
        <v>100</v>
      </c>
      <c r="Q4" s="1" t="s">
        <v>5</v>
      </c>
      <c r="S4" s="1" t="s">
        <v>163</v>
      </c>
      <c r="T4" s="1">
        <v>61</v>
      </c>
      <c r="U4" s="1">
        <v>100</v>
      </c>
      <c r="V4" s="1" t="s">
        <v>5</v>
      </c>
    </row>
    <row r="5" spans="1:23" ht="124.5" customHeight="1">
      <c r="A5" s="1" t="s">
        <v>165</v>
      </c>
      <c r="B5" s="1" t="s">
        <v>166</v>
      </c>
      <c r="C5" s="1">
        <v>1000</v>
      </c>
      <c r="D5" s="1" t="s">
        <v>98</v>
      </c>
      <c r="E5" s="1" t="s">
        <v>98</v>
      </c>
      <c r="F5" s="1">
        <v>100</v>
      </c>
      <c r="G5" s="1" t="s">
        <v>5</v>
      </c>
      <c r="I5" s="1" t="s">
        <v>98</v>
      </c>
      <c r="J5" s="1" t="s">
        <v>98</v>
      </c>
      <c r="K5" s="1">
        <v>100</v>
      </c>
      <c r="L5" s="1" t="s">
        <v>5</v>
      </c>
      <c r="N5" s="1" t="s">
        <v>98</v>
      </c>
      <c r="O5" s="1" t="s">
        <v>167</v>
      </c>
      <c r="P5" s="1">
        <v>100</v>
      </c>
      <c r="Q5" s="1" t="s">
        <v>5</v>
      </c>
      <c r="S5" s="1" t="s">
        <v>98</v>
      </c>
      <c r="T5" s="1">
        <v>4350</v>
      </c>
      <c r="U5" s="1">
        <v>100</v>
      </c>
      <c r="V5" s="1" t="s">
        <v>5</v>
      </c>
      <c r="W5" s="1" t="s">
        <v>169</v>
      </c>
    </row>
    <row r="6" spans="1:23" ht="148.5" customHeight="1">
      <c r="A6" s="1" t="s">
        <v>170</v>
      </c>
      <c r="B6" s="1" t="s">
        <v>171</v>
      </c>
      <c r="C6" s="1">
        <v>12</v>
      </c>
      <c r="D6" s="1" t="s">
        <v>84</v>
      </c>
      <c r="E6" s="1" t="s">
        <v>11</v>
      </c>
      <c r="F6" s="1">
        <v>0</v>
      </c>
      <c r="G6" s="1" t="s">
        <v>14</v>
      </c>
      <c r="I6" s="1" t="s">
        <v>84</v>
      </c>
      <c r="J6" s="1" t="s">
        <v>172</v>
      </c>
      <c r="K6" s="1">
        <v>100</v>
      </c>
      <c r="L6" s="1" t="s">
        <v>5</v>
      </c>
      <c r="N6" s="1" t="s">
        <v>84</v>
      </c>
      <c r="O6" s="1" t="s">
        <v>16</v>
      </c>
      <c r="P6" s="1">
        <v>33.33</v>
      </c>
      <c r="Q6" s="1" t="s">
        <v>14</v>
      </c>
      <c r="S6" s="1" t="s">
        <v>84</v>
      </c>
      <c r="T6" s="1" t="s">
        <v>11</v>
      </c>
      <c r="U6" s="1">
        <v>0</v>
      </c>
      <c r="V6" s="1" t="s">
        <v>14</v>
      </c>
      <c r="W6" s="1" t="s">
        <v>173</v>
      </c>
    </row>
    <row r="7" spans="1:23" ht="86.25" customHeight="1">
      <c r="A7" s="1" t="s">
        <v>174</v>
      </c>
      <c r="B7" s="1" t="s">
        <v>175</v>
      </c>
      <c r="C7" s="1">
        <v>160</v>
      </c>
      <c r="D7" s="1" t="s">
        <v>42</v>
      </c>
      <c r="E7" s="1" t="s">
        <v>42</v>
      </c>
      <c r="F7" s="1">
        <v>100</v>
      </c>
      <c r="G7" s="1" t="s">
        <v>5</v>
      </c>
      <c r="H7" s="1" t="s">
        <v>176</v>
      </c>
      <c r="I7" s="1" t="s">
        <v>42</v>
      </c>
      <c r="J7" s="1" t="s">
        <v>177</v>
      </c>
      <c r="K7" s="1">
        <v>100</v>
      </c>
      <c r="L7" s="1" t="s">
        <v>5</v>
      </c>
      <c r="N7" s="1" t="s">
        <v>42</v>
      </c>
      <c r="O7" s="1" t="s">
        <v>42</v>
      </c>
      <c r="P7" s="1">
        <v>100</v>
      </c>
      <c r="Q7" s="1" t="s">
        <v>5</v>
      </c>
      <c r="S7" s="1" t="s">
        <v>42</v>
      </c>
      <c r="T7" s="1">
        <v>32</v>
      </c>
      <c r="U7" s="1">
        <v>80</v>
      </c>
      <c r="V7" s="1" t="s">
        <v>108</v>
      </c>
      <c r="W7" s="1" t="s">
        <v>179</v>
      </c>
    </row>
    <row r="8" spans="1:23" ht="30">
      <c r="A8" s="1" t="s">
        <v>180</v>
      </c>
      <c r="B8" s="1" t="s">
        <v>181</v>
      </c>
      <c r="C8" s="1">
        <v>50</v>
      </c>
      <c r="D8" s="1" t="s">
        <v>56</v>
      </c>
      <c r="E8" s="1" t="s">
        <v>56</v>
      </c>
      <c r="F8" s="1">
        <v>100</v>
      </c>
      <c r="G8" s="1" t="s">
        <v>5</v>
      </c>
      <c r="I8" s="1" t="s">
        <v>56</v>
      </c>
      <c r="J8" s="1" t="s">
        <v>56</v>
      </c>
      <c r="K8" s="1">
        <v>100</v>
      </c>
      <c r="L8" s="1" t="s">
        <v>5</v>
      </c>
      <c r="N8" s="1" t="s">
        <v>56</v>
      </c>
      <c r="O8" s="1" t="s">
        <v>158</v>
      </c>
      <c r="P8" s="1">
        <v>100</v>
      </c>
      <c r="Q8" s="1" t="s">
        <v>5</v>
      </c>
      <c r="S8" s="1" t="s">
        <v>92</v>
      </c>
      <c r="T8" s="1" t="s">
        <v>92</v>
      </c>
      <c r="U8" s="1">
        <v>100</v>
      </c>
      <c r="V8" s="1" t="s">
        <v>5</v>
      </c>
      <c r="W8" s="1" t="s">
        <v>140</v>
      </c>
    </row>
    <row r="9" spans="1:23" ht="105.75" customHeight="1">
      <c r="A9" s="1" t="s">
        <v>88</v>
      </c>
      <c r="B9" s="1" t="s">
        <v>90</v>
      </c>
      <c r="C9" s="1">
        <v>1</v>
      </c>
      <c r="D9" s="1" t="s">
        <v>10</v>
      </c>
      <c r="E9" s="1" t="s">
        <v>11</v>
      </c>
      <c r="F9" s="1">
        <v>0</v>
      </c>
      <c r="I9" s="1" t="s">
        <v>10</v>
      </c>
      <c r="J9" s="1" t="s">
        <v>11</v>
      </c>
      <c r="K9" s="1">
        <v>0</v>
      </c>
      <c r="N9" s="1" t="s">
        <v>16</v>
      </c>
      <c r="O9" s="1" t="s">
        <v>16</v>
      </c>
      <c r="P9" s="1">
        <v>100</v>
      </c>
      <c r="Q9" s="1" t="s">
        <v>5</v>
      </c>
      <c r="S9" s="1" t="s">
        <v>10</v>
      </c>
      <c r="T9" s="1" t="s">
        <v>11</v>
      </c>
      <c r="U9" s="1">
        <v>0</v>
      </c>
      <c r="W9" s="1" t="s">
        <v>182</v>
      </c>
    </row>
    <row r="10" spans="1:23">
      <c r="F10" s="1">
        <f>SUBTOTAL(109,ReporteAvancePlanIndicativo3822[% Avance 2020])/7</f>
        <v>85.714285714285708</v>
      </c>
      <c r="K10" s="1">
        <f>SUBTOTAL(109,ReporteAvancePlanIndicativo3822[% Avance 2021])/7</f>
        <v>100</v>
      </c>
      <c r="P10" s="1">
        <f>SUBTOTAL(109,ReporteAvancePlanIndicativo3822[% Avance 2022])/8</f>
        <v>91.666249999999991</v>
      </c>
      <c r="U10" s="1">
        <f>SUBTOTAL(109,ReporteAvancePlanIndicativo3822[% Avance 2023])/7</f>
        <v>82.857142857142861</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0"/>
  <sheetViews>
    <sheetView workbookViewId="0">
      <selection activeCell="H14" sqref="H14"/>
    </sheetView>
  </sheetViews>
  <sheetFormatPr baseColWidth="10" defaultColWidth="9.140625" defaultRowHeight="15"/>
  <cols>
    <col min="1" max="1" width="27.85546875" style="1" customWidth="1"/>
    <col min="2" max="2" width="27.7109375" style="1" customWidth="1"/>
    <col min="3" max="3" width="13.7109375" style="1" customWidth="1"/>
    <col min="4" max="4" width="12.7109375" style="1" customWidth="1"/>
    <col min="5" max="6" width="12.28515625" style="1" customWidth="1"/>
    <col min="7" max="7" width="11.28515625" style="1" customWidth="1"/>
    <col min="8" max="8" width="13.42578125" style="1" customWidth="1"/>
    <col min="9" max="10" width="12.140625" style="1" customWidth="1"/>
    <col min="11" max="11" width="10.85546875" style="1" customWidth="1"/>
    <col min="12" max="12" width="15.140625" style="1" customWidth="1"/>
    <col min="13" max="16384" width="9.140625" style="1"/>
  </cols>
  <sheetData>
    <row r="1" spans="1:13" ht="30">
      <c r="A1" s="1" t="s">
        <v>566</v>
      </c>
      <c r="B1" s="1" t="s">
        <v>567</v>
      </c>
      <c r="C1" s="1" t="s">
        <v>568</v>
      </c>
      <c r="D1" s="1" t="s">
        <v>569</v>
      </c>
      <c r="E1" s="1" t="s">
        <v>570</v>
      </c>
      <c r="F1" s="1" t="s">
        <v>574</v>
      </c>
      <c r="G1" s="1" t="s">
        <v>575</v>
      </c>
      <c r="H1" s="1" t="s">
        <v>579</v>
      </c>
      <c r="I1" s="1" t="s">
        <v>580</v>
      </c>
      <c r="J1" s="1" t="s">
        <v>584</v>
      </c>
      <c r="K1" s="1" t="s">
        <v>585</v>
      </c>
      <c r="L1" s="1" t="s">
        <v>644</v>
      </c>
      <c r="M1" s="1" t="s">
        <v>649</v>
      </c>
    </row>
    <row r="2" spans="1:13" ht="72.75" customHeight="1">
      <c r="A2" s="1" t="s">
        <v>153</v>
      </c>
      <c r="B2" s="1" t="s">
        <v>154</v>
      </c>
      <c r="C2" s="1">
        <v>3000</v>
      </c>
      <c r="D2" s="1" t="s">
        <v>95</v>
      </c>
      <c r="E2" s="62" t="s">
        <v>95</v>
      </c>
      <c r="F2" s="1" t="s">
        <v>98</v>
      </c>
      <c r="G2" s="62" t="s">
        <v>98</v>
      </c>
      <c r="H2" s="1" t="s">
        <v>98</v>
      </c>
      <c r="I2" s="62" t="s">
        <v>98</v>
      </c>
      <c r="J2" s="1" t="s">
        <v>95</v>
      </c>
      <c r="K2" s="62">
        <v>510</v>
      </c>
      <c r="L2" s="1">
        <v>100</v>
      </c>
      <c r="M2" s="93"/>
    </row>
    <row r="3" spans="1:13" ht="53.25" customHeight="1">
      <c r="A3" s="1" t="s">
        <v>156</v>
      </c>
      <c r="B3" s="1" t="s">
        <v>157</v>
      </c>
      <c r="C3" s="1">
        <v>40</v>
      </c>
      <c r="D3" s="1" t="s">
        <v>13</v>
      </c>
      <c r="E3" s="62" t="s">
        <v>13</v>
      </c>
      <c r="F3" s="1" t="s">
        <v>125</v>
      </c>
      <c r="G3" s="62" t="s">
        <v>125</v>
      </c>
      <c r="H3" s="1" t="s">
        <v>158</v>
      </c>
      <c r="I3" s="62" t="s">
        <v>159</v>
      </c>
      <c r="J3" s="1" t="s">
        <v>158</v>
      </c>
      <c r="K3" s="62">
        <v>16</v>
      </c>
      <c r="L3" s="1">
        <v>100</v>
      </c>
      <c r="M3" s="93"/>
    </row>
    <row r="4" spans="1:13" ht="30">
      <c r="A4" s="1" t="s">
        <v>161</v>
      </c>
      <c r="B4" s="1" t="s">
        <v>162</v>
      </c>
      <c r="C4" s="1">
        <v>60</v>
      </c>
      <c r="D4" s="1" t="s">
        <v>163</v>
      </c>
      <c r="E4" s="62" t="s">
        <v>163</v>
      </c>
      <c r="F4" s="1" t="s">
        <v>163</v>
      </c>
      <c r="G4" s="62" t="s">
        <v>164</v>
      </c>
      <c r="H4" s="1" t="s">
        <v>163</v>
      </c>
      <c r="I4" s="62" t="s">
        <v>163</v>
      </c>
      <c r="J4" s="1" t="s">
        <v>163</v>
      </c>
      <c r="K4" s="62">
        <v>61</v>
      </c>
      <c r="L4" s="1">
        <v>100</v>
      </c>
      <c r="M4" s="93"/>
    </row>
    <row r="5" spans="1:13" ht="42.75" customHeight="1">
      <c r="A5" s="1" t="s">
        <v>165</v>
      </c>
      <c r="B5" s="1" t="s">
        <v>166</v>
      </c>
      <c r="C5" s="1">
        <v>1000</v>
      </c>
      <c r="D5" s="1" t="s">
        <v>98</v>
      </c>
      <c r="E5" s="62" t="s">
        <v>98</v>
      </c>
      <c r="F5" s="1" t="s">
        <v>98</v>
      </c>
      <c r="G5" s="62" t="s">
        <v>98</v>
      </c>
      <c r="H5" s="1" t="s">
        <v>98</v>
      </c>
      <c r="I5" s="62" t="s">
        <v>167</v>
      </c>
      <c r="J5" s="1" t="s">
        <v>98</v>
      </c>
      <c r="K5" s="62">
        <v>4350</v>
      </c>
      <c r="L5" s="1">
        <v>100</v>
      </c>
      <c r="M5" s="93"/>
    </row>
    <row r="6" spans="1:13" ht="39" customHeight="1">
      <c r="A6" s="1" t="s">
        <v>170</v>
      </c>
      <c r="B6" s="1" t="s">
        <v>171</v>
      </c>
      <c r="C6" s="1">
        <v>12</v>
      </c>
      <c r="D6" s="1" t="s">
        <v>84</v>
      </c>
      <c r="E6" s="62" t="s">
        <v>11</v>
      </c>
      <c r="F6" s="1" t="s">
        <v>84</v>
      </c>
      <c r="G6" s="62" t="s">
        <v>172</v>
      </c>
      <c r="H6" s="1" t="s">
        <v>84</v>
      </c>
      <c r="I6" s="62" t="s">
        <v>16</v>
      </c>
      <c r="J6" s="1" t="s">
        <v>84</v>
      </c>
      <c r="K6" s="62" t="s">
        <v>11</v>
      </c>
      <c r="L6" s="1">
        <v>50</v>
      </c>
      <c r="M6" s="94"/>
    </row>
    <row r="7" spans="1:13" ht="63" customHeight="1">
      <c r="A7" s="1" t="s">
        <v>174</v>
      </c>
      <c r="B7" s="1" t="s">
        <v>175</v>
      </c>
      <c r="C7" s="1">
        <v>160</v>
      </c>
      <c r="D7" s="1" t="s">
        <v>42</v>
      </c>
      <c r="E7" s="62" t="s">
        <v>42</v>
      </c>
      <c r="F7" s="1" t="s">
        <v>42</v>
      </c>
      <c r="G7" s="62" t="s">
        <v>177</v>
      </c>
      <c r="H7" s="1" t="s">
        <v>42</v>
      </c>
      <c r="I7" s="62" t="s">
        <v>42</v>
      </c>
      <c r="J7" s="1" t="s">
        <v>42</v>
      </c>
      <c r="K7" s="62">
        <v>32</v>
      </c>
      <c r="L7" s="1">
        <v>96.25</v>
      </c>
      <c r="M7" s="93"/>
    </row>
    <row r="8" spans="1:13" ht="30">
      <c r="A8" s="1" t="s">
        <v>180</v>
      </c>
      <c r="B8" s="1" t="s">
        <v>181</v>
      </c>
      <c r="C8" s="1">
        <v>50</v>
      </c>
      <c r="D8" s="1" t="s">
        <v>56</v>
      </c>
      <c r="E8" s="62" t="s">
        <v>56</v>
      </c>
      <c r="F8" s="1" t="s">
        <v>56</v>
      </c>
      <c r="G8" s="62" t="s">
        <v>56</v>
      </c>
      <c r="H8" s="1" t="s">
        <v>56</v>
      </c>
      <c r="I8" s="62" t="s">
        <v>158</v>
      </c>
      <c r="J8" s="1" t="s">
        <v>92</v>
      </c>
      <c r="K8" s="62" t="s">
        <v>92</v>
      </c>
      <c r="L8" s="1">
        <v>100</v>
      </c>
      <c r="M8" s="93"/>
    </row>
    <row r="9" spans="1:13" ht="45" customHeight="1">
      <c r="A9" s="1" t="s">
        <v>88</v>
      </c>
      <c r="B9" s="1" t="s">
        <v>90</v>
      </c>
      <c r="C9" s="1">
        <v>1</v>
      </c>
      <c r="D9" s="1" t="s">
        <v>10</v>
      </c>
      <c r="E9" s="62" t="s">
        <v>11</v>
      </c>
      <c r="F9" s="1" t="s">
        <v>10</v>
      </c>
      <c r="G9" s="62" t="s">
        <v>11</v>
      </c>
      <c r="H9" s="1" t="s">
        <v>16</v>
      </c>
      <c r="I9" s="62" t="s">
        <v>16</v>
      </c>
      <c r="J9" s="1" t="s">
        <v>10</v>
      </c>
      <c r="K9" s="62" t="s">
        <v>11</v>
      </c>
      <c r="L9" s="1">
        <v>100</v>
      </c>
      <c r="M9" s="93"/>
    </row>
    <row r="10" spans="1:13">
      <c r="L10" s="1">
        <f>SUBTOTAL(109,ReporteAvancePlanIndicativo38[Consolidado 2020 - 2023*])/8</f>
        <v>93.28125</v>
      </c>
    </row>
  </sheetData>
  <phoneticPr fontId="4" type="noConversion"/>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2DFC1-5C0C-4130-ADF8-F21755EE4A3B}">
  <dimension ref="A1:W13"/>
  <sheetViews>
    <sheetView topLeftCell="A7" workbookViewId="0">
      <selection activeCell="P14" sqref="P14"/>
    </sheetView>
  </sheetViews>
  <sheetFormatPr baseColWidth="10" defaultColWidth="9.140625" defaultRowHeight="15"/>
  <cols>
    <col min="1" max="1" width="21.7109375" style="2" customWidth="1"/>
    <col min="2" max="2" width="28" style="2" customWidth="1"/>
    <col min="3" max="6" width="12.28515625" style="2" customWidth="1"/>
    <col min="7" max="7" width="14.42578125" style="2" customWidth="1"/>
    <col min="8" max="9" width="12.28515625" style="2" customWidth="1"/>
    <col min="10" max="10" width="10.85546875" style="2" customWidth="1"/>
    <col min="11" max="11" width="11.28515625" style="2" customWidth="1"/>
    <col min="12" max="12" width="14" style="2" customWidth="1"/>
    <col min="13" max="14" width="12.28515625" style="2" customWidth="1"/>
    <col min="15" max="15" width="10.85546875" style="2" customWidth="1"/>
    <col min="16" max="16" width="12.28515625" style="2" customWidth="1"/>
    <col min="17" max="17" width="13.85546875" style="2" customWidth="1"/>
    <col min="18" max="18" width="19.85546875" style="2" customWidth="1"/>
    <col min="19" max="21" width="12.28515625" style="2" customWidth="1"/>
    <col min="22" max="22" width="14.42578125" style="2" customWidth="1"/>
    <col min="23" max="23" width="18.7109375" style="2" customWidth="1"/>
    <col min="24" max="16384" width="9.140625" style="2"/>
  </cols>
  <sheetData>
    <row r="1" spans="1:23" s="3" customFormat="1" ht="30">
      <c r="A1" s="3" t="s">
        <v>566</v>
      </c>
      <c r="B1" s="3" t="s">
        <v>567</v>
      </c>
      <c r="C1" s="3" t="s">
        <v>568</v>
      </c>
      <c r="D1" s="3" t="s">
        <v>569</v>
      </c>
      <c r="E1" s="3" t="s">
        <v>570</v>
      </c>
      <c r="F1" s="3" t="s">
        <v>571</v>
      </c>
      <c r="G1" s="3" t="s">
        <v>572</v>
      </c>
      <c r="H1" s="3" t="s">
        <v>573</v>
      </c>
      <c r="I1" s="3" t="s">
        <v>574</v>
      </c>
      <c r="J1" s="3" t="s">
        <v>575</v>
      </c>
      <c r="K1" s="3" t="s">
        <v>576</v>
      </c>
      <c r="L1" s="3" t="s">
        <v>577</v>
      </c>
      <c r="M1" s="3" t="s">
        <v>578</v>
      </c>
      <c r="N1" s="3" t="s">
        <v>579</v>
      </c>
      <c r="O1" s="3" t="s">
        <v>580</v>
      </c>
      <c r="P1" s="3" t="s">
        <v>581</v>
      </c>
      <c r="Q1" s="3" t="s">
        <v>582</v>
      </c>
      <c r="R1" s="3" t="s">
        <v>583</v>
      </c>
      <c r="S1" s="3" t="s">
        <v>584</v>
      </c>
      <c r="T1" s="3" t="s">
        <v>585</v>
      </c>
      <c r="U1" s="3" t="s">
        <v>586</v>
      </c>
      <c r="V1" s="3" t="s">
        <v>587</v>
      </c>
      <c r="W1" s="3" t="s">
        <v>588</v>
      </c>
    </row>
    <row r="2" spans="1:23" ht="129" customHeight="1">
      <c r="A2" s="2" t="s">
        <v>297</v>
      </c>
      <c r="B2" s="2" t="s">
        <v>298</v>
      </c>
      <c r="C2" s="2">
        <v>500</v>
      </c>
      <c r="D2" s="2" t="s">
        <v>4</v>
      </c>
      <c r="E2" s="2" t="s">
        <v>4</v>
      </c>
      <c r="F2" s="2">
        <v>100</v>
      </c>
      <c r="G2" s="2" t="s">
        <v>5</v>
      </c>
      <c r="I2" s="2" t="s">
        <v>299</v>
      </c>
      <c r="J2" s="2" t="s">
        <v>300</v>
      </c>
      <c r="K2" s="2">
        <v>68.5</v>
      </c>
      <c r="L2" s="2" t="s">
        <v>59</v>
      </c>
      <c r="N2" s="2" t="s">
        <v>301</v>
      </c>
      <c r="O2" s="2" t="s">
        <v>302</v>
      </c>
      <c r="P2" s="2">
        <v>100</v>
      </c>
      <c r="Q2" s="2" t="s">
        <v>5</v>
      </c>
      <c r="R2" s="2" t="s">
        <v>303</v>
      </c>
      <c r="S2" s="2" t="s">
        <v>304</v>
      </c>
      <c r="T2" s="2">
        <v>164</v>
      </c>
      <c r="U2" s="2">
        <v>80.790000000000006</v>
      </c>
      <c r="V2" s="2" t="s">
        <v>59</v>
      </c>
    </row>
    <row r="3" spans="1:23" ht="165">
      <c r="A3" s="2" t="s">
        <v>305</v>
      </c>
      <c r="B3" s="2" t="s">
        <v>306</v>
      </c>
      <c r="C3" s="2">
        <v>230</v>
      </c>
      <c r="D3" s="2" t="s">
        <v>56</v>
      </c>
      <c r="E3" s="2" t="s">
        <v>24</v>
      </c>
      <c r="F3" s="2">
        <v>5</v>
      </c>
      <c r="G3" s="2" t="s">
        <v>14</v>
      </c>
      <c r="I3" s="2" t="s">
        <v>92</v>
      </c>
      <c r="J3" s="2" t="s">
        <v>158</v>
      </c>
      <c r="K3" s="2">
        <v>75</v>
      </c>
      <c r="L3" s="2" t="s">
        <v>108</v>
      </c>
      <c r="N3" s="2" t="s">
        <v>4</v>
      </c>
      <c r="O3" s="2" t="s">
        <v>307</v>
      </c>
      <c r="P3" s="2">
        <v>100</v>
      </c>
      <c r="Q3" s="2" t="s">
        <v>5</v>
      </c>
      <c r="S3" s="2" t="s">
        <v>4</v>
      </c>
      <c r="T3" s="2" t="s">
        <v>308</v>
      </c>
      <c r="U3" s="2">
        <v>100</v>
      </c>
      <c r="V3" s="2" t="s">
        <v>5</v>
      </c>
      <c r="W3" s="2" t="s">
        <v>593</v>
      </c>
    </row>
    <row r="4" spans="1:23" ht="135">
      <c r="A4" s="2" t="s">
        <v>88</v>
      </c>
      <c r="B4" s="2" t="s">
        <v>339</v>
      </c>
      <c r="C4" s="2">
        <v>2</v>
      </c>
      <c r="D4" s="2" t="s">
        <v>77</v>
      </c>
      <c r="E4" s="2" t="s">
        <v>11</v>
      </c>
      <c r="F4" s="2">
        <v>0</v>
      </c>
      <c r="G4" s="2" t="s">
        <v>14</v>
      </c>
      <c r="I4" s="2" t="s">
        <v>340</v>
      </c>
      <c r="J4" s="2" t="s">
        <v>340</v>
      </c>
      <c r="K4" s="2">
        <v>100</v>
      </c>
      <c r="L4" s="2" t="s">
        <v>5</v>
      </c>
      <c r="N4" s="2" t="s">
        <v>230</v>
      </c>
      <c r="O4" s="2" t="s">
        <v>79</v>
      </c>
      <c r="P4" s="2">
        <v>50</v>
      </c>
      <c r="Q4" s="2" t="s">
        <v>18</v>
      </c>
      <c r="S4" s="2" t="s">
        <v>341</v>
      </c>
      <c r="T4" s="2" t="s">
        <v>7</v>
      </c>
      <c r="U4" s="2">
        <v>4.4999999999999998E-2</v>
      </c>
      <c r="V4" s="2" t="s">
        <v>14</v>
      </c>
      <c r="W4" s="2" t="s">
        <v>594</v>
      </c>
    </row>
    <row r="5" spans="1:23" ht="86.25" customHeight="1">
      <c r="A5" s="2" t="s">
        <v>342</v>
      </c>
      <c r="B5" s="2" t="s">
        <v>343</v>
      </c>
      <c r="C5" s="2">
        <v>2</v>
      </c>
      <c r="D5" s="2" t="s">
        <v>10</v>
      </c>
      <c r="E5" s="2" t="s">
        <v>11</v>
      </c>
      <c r="F5" s="2">
        <v>0</v>
      </c>
      <c r="I5" s="2" t="s">
        <v>10</v>
      </c>
      <c r="J5" s="2" t="s">
        <v>11</v>
      </c>
      <c r="K5" s="2">
        <v>0</v>
      </c>
      <c r="N5" s="2" t="s">
        <v>10</v>
      </c>
      <c r="O5" s="2" t="s">
        <v>29</v>
      </c>
      <c r="P5" s="2">
        <v>0</v>
      </c>
      <c r="S5" s="2" t="s">
        <v>13</v>
      </c>
      <c r="T5" s="2" t="s">
        <v>11</v>
      </c>
      <c r="U5" s="2">
        <v>0</v>
      </c>
      <c r="V5" s="2" t="s">
        <v>14</v>
      </c>
    </row>
    <row r="6" spans="1:23" ht="102.75" customHeight="1">
      <c r="A6" s="2" t="s">
        <v>344</v>
      </c>
      <c r="B6" s="2" t="s">
        <v>344</v>
      </c>
      <c r="C6" s="2">
        <v>5000</v>
      </c>
      <c r="D6" s="2" t="s">
        <v>4</v>
      </c>
      <c r="E6" s="2" t="s">
        <v>11</v>
      </c>
      <c r="F6" s="2">
        <v>0</v>
      </c>
      <c r="G6" s="2" t="s">
        <v>14</v>
      </c>
      <c r="I6" s="2" t="s">
        <v>95</v>
      </c>
      <c r="J6" s="2" t="s">
        <v>345</v>
      </c>
      <c r="K6" s="2">
        <v>100</v>
      </c>
      <c r="L6" s="2" t="s">
        <v>5</v>
      </c>
      <c r="N6" s="2" t="s">
        <v>295</v>
      </c>
      <c r="O6" s="2" t="s">
        <v>295</v>
      </c>
      <c r="P6" s="2">
        <v>100</v>
      </c>
      <c r="Q6" s="2" t="s">
        <v>5</v>
      </c>
      <c r="R6" s="2" t="s">
        <v>346</v>
      </c>
      <c r="S6" s="2" t="s">
        <v>347</v>
      </c>
      <c r="T6" s="2" t="s">
        <v>348</v>
      </c>
      <c r="U6" s="2">
        <v>100</v>
      </c>
      <c r="V6" s="2" t="s">
        <v>5</v>
      </c>
    </row>
    <row r="7" spans="1:23" ht="150">
      <c r="A7" s="2" t="s">
        <v>349</v>
      </c>
      <c r="B7" s="2" t="s">
        <v>350</v>
      </c>
      <c r="C7" s="2">
        <v>1</v>
      </c>
      <c r="D7" s="2" t="s">
        <v>10</v>
      </c>
      <c r="E7" s="2" t="s">
        <v>11</v>
      </c>
      <c r="F7" s="2">
        <v>0</v>
      </c>
      <c r="I7" s="2" t="s">
        <v>24</v>
      </c>
      <c r="J7" s="2" t="s">
        <v>24</v>
      </c>
      <c r="K7" s="2">
        <v>100</v>
      </c>
      <c r="L7" s="2" t="s">
        <v>5</v>
      </c>
      <c r="N7" s="2" t="s">
        <v>10</v>
      </c>
      <c r="O7" s="2" t="s">
        <v>29</v>
      </c>
      <c r="P7" s="2">
        <v>0</v>
      </c>
      <c r="S7" s="2" t="s">
        <v>24</v>
      </c>
      <c r="T7" s="2" t="s">
        <v>11</v>
      </c>
      <c r="U7" s="2">
        <v>0</v>
      </c>
      <c r="V7" s="2" t="s">
        <v>14</v>
      </c>
      <c r="W7" s="2" t="s">
        <v>595</v>
      </c>
    </row>
    <row r="8" spans="1:23" ht="45">
      <c r="A8" s="2" t="s">
        <v>351</v>
      </c>
      <c r="B8" s="2" t="s">
        <v>352</v>
      </c>
      <c r="C8" s="2">
        <v>200</v>
      </c>
      <c r="D8" s="2" t="s">
        <v>56</v>
      </c>
      <c r="E8" s="2" t="s">
        <v>11</v>
      </c>
      <c r="F8" s="2">
        <v>0</v>
      </c>
      <c r="G8" s="2" t="s">
        <v>14</v>
      </c>
      <c r="I8" s="2" t="s">
        <v>222</v>
      </c>
      <c r="J8" s="2" t="s">
        <v>222</v>
      </c>
      <c r="K8" s="2">
        <v>100</v>
      </c>
      <c r="L8" s="2" t="s">
        <v>5</v>
      </c>
      <c r="N8" s="2" t="s">
        <v>187</v>
      </c>
      <c r="O8" s="2" t="s">
        <v>187</v>
      </c>
      <c r="P8" s="2">
        <v>100</v>
      </c>
      <c r="Q8" s="2" t="s">
        <v>5</v>
      </c>
      <c r="S8" s="2" t="s">
        <v>187</v>
      </c>
      <c r="T8" s="2">
        <v>2132</v>
      </c>
      <c r="U8" s="2">
        <v>100</v>
      </c>
      <c r="V8" s="2" t="s">
        <v>5</v>
      </c>
      <c r="W8" s="2" t="s">
        <v>140</v>
      </c>
    </row>
    <row r="9" spans="1:23" ht="45">
      <c r="A9" s="2" t="s">
        <v>353</v>
      </c>
      <c r="B9" s="2" t="s">
        <v>354</v>
      </c>
      <c r="C9" s="2">
        <v>400</v>
      </c>
      <c r="D9" s="2" t="s">
        <v>4</v>
      </c>
      <c r="E9" s="2" t="s">
        <v>172</v>
      </c>
      <c r="F9" s="2">
        <v>5</v>
      </c>
      <c r="G9" s="2" t="s">
        <v>14</v>
      </c>
      <c r="I9" s="2" t="s">
        <v>222</v>
      </c>
      <c r="J9" s="2" t="s">
        <v>62</v>
      </c>
      <c r="K9" s="2">
        <v>30</v>
      </c>
      <c r="L9" s="2" t="s">
        <v>14</v>
      </c>
      <c r="N9" s="2" t="s">
        <v>58</v>
      </c>
      <c r="O9" s="2" t="s">
        <v>355</v>
      </c>
      <c r="P9" s="2">
        <v>25.71</v>
      </c>
      <c r="Q9" s="2" t="s">
        <v>14</v>
      </c>
      <c r="S9" s="2" t="s">
        <v>299</v>
      </c>
      <c r="T9" s="2">
        <v>24</v>
      </c>
      <c r="U9" s="2">
        <v>12</v>
      </c>
      <c r="V9" s="2" t="s">
        <v>14</v>
      </c>
      <c r="W9" s="2" t="s">
        <v>140</v>
      </c>
    </row>
    <row r="10" spans="1:23" ht="75">
      <c r="A10" s="2" t="s">
        <v>356</v>
      </c>
      <c r="B10" s="2" t="s">
        <v>357</v>
      </c>
      <c r="C10" s="2">
        <v>3</v>
      </c>
      <c r="D10" s="2" t="s">
        <v>24</v>
      </c>
      <c r="E10" s="2" t="s">
        <v>24</v>
      </c>
      <c r="F10" s="2">
        <v>100</v>
      </c>
      <c r="G10" s="2" t="s">
        <v>5</v>
      </c>
      <c r="I10" s="2" t="s">
        <v>16</v>
      </c>
      <c r="J10" s="2" t="s">
        <v>16</v>
      </c>
      <c r="K10" s="2">
        <v>100</v>
      </c>
      <c r="L10" s="2" t="s">
        <v>5</v>
      </c>
      <c r="N10" s="2" t="s">
        <v>189</v>
      </c>
      <c r="O10" s="2" t="s">
        <v>189</v>
      </c>
      <c r="P10" s="2">
        <v>100</v>
      </c>
      <c r="Q10" s="2" t="s">
        <v>5</v>
      </c>
      <c r="S10" s="2" t="s">
        <v>189</v>
      </c>
      <c r="T10" s="2">
        <v>0.75</v>
      </c>
      <c r="U10" s="2">
        <v>75</v>
      </c>
      <c r="V10" s="2" t="s">
        <v>108</v>
      </c>
      <c r="W10" s="2" t="s">
        <v>140</v>
      </c>
    </row>
    <row r="11" spans="1:23" ht="120">
      <c r="A11" s="2" t="s">
        <v>358</v>
      </c>
      <c r="B11" s="2" t="s">
        <v>359</v>
      </c>
      <c r="C11" s="2">
        <v>200</v>
      </c>
      <c r="D11" s="2" t="s">
        <v>56</v>
      </c>
      <c r="E11" s="2" t="s">
        <v>11</v>
      </c>
      <c r="F11" s="2">
        <v>0</v>
      </c>
      <c r="G11" s="2" t="s">
        <v>14</v>
      </c>
      <c r="I11" s="2" t="s">
        <v>58</v>
      </c>
      <c r="J11" s="2" t="s">
        <v>360</v>
      </c>
      <c r="K11" s="2">
        <v>55.71</v>
      </c>
      <c r="L11" s="2" t="s">
        <v>18</v>
      </c>
      <c r="N11" s="2" t="s">
        <v>4</v>
      </c>
      <c r="O11" s="2" t="s">
        <v>7</v>
      </c>
      <c r="P11" s="2">
        <v>0</v>
      </c>
      <c r="Q11" s="2" t="s">
        <v>14</v>
      </c>
      <c r="R11" s="2" t="s">
        <v>361</v>
      </c>
      <c r="S11" s="2" t="s">
        <v>92</v>
      </c>
      <c r="T11" s="2">
        <v>18</v>
      </c>
      <c r="U11" s="2">
        <v>90</v>
      </c>
      <c r="V11" s="2" t="s">
        <v>5</v>
      </c>
      <c r="W11" s="2" t="s">
        <v>140</v>
      </c>
    </row>
    <row r="12" spans="1:23" ht="60">
      <c r="A12" s="2" t="s">
        <v>362</v>
      </c>
      <c r="B12" s="2" t="s">
        <v>363</v>
      </c>
      <c r="C12" s="2">
        <v>0.5</v>
      </c>
      <c r="D12" s="2" t="s">
        <v>364</v>
      </c>
      <c r="E12" s="2" t="s">
        <v>11</v>
      </c>
      <c r="F12" s="2">
        <v>0</v>
      </c>
      <c r="G12" s="2" t="s">
        <v>14</v>
      </c>
      <c r="I12" s="2" t="s">
        <v>364</v>
      </c>
      <c r="J12" s="2" t="s">
        <v>364</v>
      </c>
      <c r="K12" s="2">
        <v>100</v>
      </c>
      <c r="L12" s="2" t="s">
        <v>5</v>
      </c>
      <c r="N12" s="2" t="s">
        <v>365</v>
      </c>
      <c r="O12" s="2" t="s">
        <v>7</v>
      </c>
      <c r="P12" s="2">
        <v>0</v>
      </c>
      <c r="Q12" s="2" t="s">
        <v>14</v>
      </c>
      <c r="S12" s="2" t="s">
        <v>91</v>
      </c>
      <c r="T12" s="2" t="s">
        <v>11</v>
      </c>
      <c r="U12" s="2">
        <v>0</v>
      </c>
      <c r="V12" s="2" t="s">
        <v>14</v>
      </c>
    </row>
    <row r="13" spans="1:23">
      <c r="F13" s="2">
        <f>SUBTOTAL(109,ReporteAvancePlanIndicativo31723[% Avance 2020])/9</f>
        <v>23.333333333333332</v>
      </c>
      <c r="K13" s="2">
        <f>SUBTOTAL(109,ReporteAvancePlanIndicativo31723[% Avance 2021])/10</f>
        <v>82.921000000000006</v>
      </c>
      <c r="P13" s="2">
        <f>SUBTOTAL(109,ReporteAvancePlanIndicativo31723[% Avance 2022])/9</f>
        <v>63.967777777777783</v>
      </c>
      <c r="U13" s="2">
        <f>SUBTOTAL(109,ReporteAvancePlanIndicativo31723[% Avance 2023])/11</f>
        <v>50.712272727272733</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3"/>
  <sheetViews>
    <sheetView topLeftCell="A6" workbookViewId="0">
      <selection activeCell="H17" sqref="H17"/>
    </sheetView>
  </sheetViews>
  <sheetFormatPr baseColWidth="10" defaultColWidth="9.140625" defaultRowHeight="15"/>
  <cols>
    <col min="1" max="1" width="21.7109375" style="2" customWidth="1"/>
    <col min="2" max="2" width="28" style="2" customWidth="1"/>
    <col min="3" max="6" width="12.28515625" style="2" customWidth="1"/>
    <col min="7" max="7" width="10.85546875" style="2" customWidth="1"/>
    <col min="8" max="8" width="12.28515625" style="2" customWidth="1"/>
    <col min="9" max="9" width="10.85546875" style="2" customWidth="1"/>
    <col min="10" max="11" width="12.28515625" style="2" customWidth="1"/>
    <col min="12" max="12" width="16" style="2" customWidth="1"/>
    <col min="13" max="16384" width="9.140625" style="2"/>
  </cols>
  <sheetData>
    <row r="1" spans="1:13" s="3" customFormat="1" ht="30">
      <c r="A1" s="3" t="s">
        <v>566</v>
      </c>
      <c r="B1" s="3" t="s">
        <v>567</v>
      </c>
      <c r="C1" s="3" t="s">
        <v>568</v>
      </c>
      <c r="D1" s="3" t="s">
        <v>569</v>
      </c>
      <c r="E1" s="3" t="s">
        <v>570</v>
      </c>
      <c r="F1" s="3" t="s">
        <v>574</v>
      </c>
      <c r="G1" s="3" t="s">
        <v>575</v>
      </c>
      <c r="H1" s="3" t="s">
        <v>579</v>
      </c>
      <c r="I1" s="3" t="s">
        <v>580</v>
      </c>
      <c r="J1" s="3" t="s">
        <v>584</v>
      </c>
      <c r="K1" s="3" t="s">
        <v>585</v>
      </c>
      <c r="L1" s="3" t="s">
        <v>644</v>
      </c>
      <c r="M1" s="3" t="s">
        <v>649</v>
      </c>
    </row>
    <row r="2" spans="1:13" ht="129" customHeight="1">
      <c r="A2" s="2" t="s">
        <v>297</v>
      </c>
      <c r="B2" s="2" t="s">
        <v>298</v>
      </c>
      <c r="C2" s="2">
        <v>500</v>
      </c>
      <c r="D2" s="2" t="s">
        <v>4</v>
      </c>
      <c r="E2" s="60" t="s">
        <v>4</v>
      </c>
      <c r="F2" s="2" t="s">
        <v>299</v>
      </c>
      <c r="G2" s="60" t="s">
        <v>300</v>
      </c>
      <c r="H2" s="2" t="s">
        <v>301</v>
      </c>
      <c r="I2" s="60" t="s">
        <v>302</v>
      </c>
      <c r="J2" s="2" t="s">
        <v>304</v>
      </c>
      <c r="K2" s="60">
        <v>164</v>
      </c>
      <c r="L2" s="2">
        <v>100</v>
      </c>
      <c r="M2" s="91"/>
    </row>
    <row r="3" spans="1:13" ht="60">
      <c r="A3" s="2" t="s">
        <v>305</v>
      </c>
      <c r="B3" s="2" t="s">
        <v>306</v>
      </c>
      <c r="C3" s="2">
        <v>230</v>
      </c>
      <c r="D3" s="2" t="s">
        <v>56</v>
      </c>
      <c r="E3" s="60" t="s">
        <v>24</v>
      </c>
      <c r="F3" s="2" t="s">
        <v>92</v>
      </c>
      <c r="G3" s="60" t="s">
        <v>158</v>
      </c>
      <c r="H3" s="2" t="s">
        <v>4</v>
      </c>
      <c r="I3" s="60" t="s">
        <v>307</v>
      </c>
      <c r="J3" s="2" t="s">
        <v>4</v>
      </c>
      <c r="K3" s="60" t="s">
        <v>308</v>
      </c>
      <c r="L3" s="2">
        <v>88.91</v>
      </c>
      <c r="M3" s="91"/>
    </row>
    <row r="4" spans="1:13" ht="75">
      <c r="A4" s="2" t="s">
        <v>88</v>
      </c>
      <c r="B4" s="2" t="s">
        <v>339</v>
      </c>
      <c r="C4" s="2">
        <v>2</v>
      </c>
      <c r="D4" s="2" t="s">
        <v>77</v>
      </c>
      <c r="E4" s="60" t="s">
        <v>11</v>
      </c>
      <c r="F4" s="2" t="s">
        <v>340</v>
      </c>
      <c r="G4" s="60" t="s">
        <v>340</v>
      </c>
      <c r="H4" s="2" t="s">
        <v>230</v>
      </c>
      <c r="I4" s="60" t="s">
        <v>79</v>
      </c>
      <c r="J4" s="2" t="s">
        <v>341</v>
      </c>
      <c r="K4" s="60" t="s">
        <v>7</v>
      </c>
      <c r="L4" s="2">
        <v>32.5</v>
      </c>
      <c r="M4" s="90"/>
    </row>
    <row r="5" spans="1:13" ht="86.25" customHeight="1">
      <c r="A5" s="2" t="s">
        <v>342</v>
      </c>
      <c r="B5" s="2" t="s">
        <v>343</v>
      </c>
      <c r="C5" s="2">
        <v>2</v>
      </c>
      <c r="D5" s="2" t="s">
        <v>10</v>
      </c>
      <c r="E5" s="60" t="s">
        <v>11</v>
      </c>
      <c r="F5" s="2" t="s">
        <v>10</v>
      </c>
      <c r="G5" s="60" t="s">
        <v>11</v>
      </c>
      <c r="H5" s="2" t="s">
        <v>10</v>
      </c>
      <c r="I5" s="60" t="s">
        <v>29</v>
      </c>
      <c r="J5" s="2" t="s">
        <v>13</v>
      </c>
      <c r="K5" s="60" t="s">
        <v>11</v>
      </c>
      <c r="L5" s="2">
        <v>0</v>
      </c>
      <c r="M5" s="90"/>
    </row>
    <row r="6" spans="1:13" ht="102.75" customHeight="1">
      <c r="A6" s="2" t="s">
        <v>344</v>
      </c>
      <c r="B6" s="2" t="s">
        <v>344</v>
      </c>
      <c r="C6" s="2">
        <v>5000</v>
      </c>
      <c r="D6" s="2" t="s">
        <v>4</v>
      </c>
      <c r="E6" s="60" t="s">
        <v>11</v>
      </c>
      <c r="F6" s="2" t="s">
        <v>95</v>
      </c>
      <c r="G6" s="60" t="s">
        <v>345</v>
      </c>
      <c r="H6" s="2" t="s">
        <v>295</v>
      </c>
      <c r="I6" s="60" t="s">
        <v>295</v>
      </c>
      <c r="J6" s="2" t="s">
        <v>347</v>
      </c>
      <c r="K6" s="60" t="s">
        <v>348</v>
      </c>
      <c r="L6" s="2">
        <v>100</v>
      </c>
      <c r="M6" s="91"/>
    </row>
    <row r="7" spans="1:13" ht="60">
      <c r="A7" s="2" t="s">
        <v>349</v>
      </c>
      <c r="B7" s="2" t="s">
        <v>350</v>
      </c>
      <c r="C7" s="2">
        <v>1</v>
      </c>
      <c r="D7" s="2" t="s">
        <v>10</v>
      </c>
      <c r="E7" s="60" t="s">
        <v>11</v>
      </c>
      <c r="F7" s="2" t="s">
        <v>24</v>
      </c>
      <c r="G7" s="60" t="s">
        <v>24</v>
      </c>
      <c r="H7" s="2" t="s">
        <v>10</v>
      </c>
      <c r="I7" s="60" t="s">
        <v>29</v>
      </c>
      <c r="J7" s="2" t="s">
        <v>24</v>
      </c>
      <c r="K7" s="60" t="s">
        <v>11</v>
      </c>
      <c r="L7" s="2">
        <v>50</v>
      </c>
      <c r="M7" s="90"/>
    </row>
    <row r="8" spans="1:13" ht="45">
      <c r="A8" s="2" t="s">
        <v>351</v>
      </c>
      <c r="B8" s="2" t="s">
        <v>352</v>
      </c>
      <c r="C8" s="2">
        <v>200</v>
      </c>
      <c r="D8" s="2" t="s">
        <v>56</v>
      </c>
      <c r="E8" s="60" t="s">
        <v>11</v>
      </c>
      <c r="F8" s="2" t="s">
        <v>222</v>
      </c>
      <c r="G8" s="60" t="s">
        <v>222</v>
      </c>
      <c r="H8" s="2" t="s">
        <v>187</v>
      </c>
      <c r="I8" s="60" t="s">
        <v>187</v>
      </c>
      <c r="J8" s="2" t="s">
        <v>187</v>
      </c>
      <c r="K8" s="60">
        <v>2132</v>
      </c>
      <c r="L8" s="2">
        <v>100</v>
      </c>
      <c r="M8" s="91"/>
    </row>
    <row r="9" spans="1:13" ht="45">
      <c r="A9" s="2" t="s">
        <v>353</v>
      </c>
      <c r="B9" s="2" t="s">
        <v>354</v>
      </c>
      <c r="C9" s="2">
        <v>400</v>
      </c>
      <c r="D9" s="2" t="s">
        <v>4</v>
      </c>
      <c r="E9" s="60" t="s">
        <v>172</v>
      </c>
      <c r="F9" s="2" t="s">
        <v>222</v>
      </c>
      <c r="G9" s="60" t="s">
        <v>62</v>
      </c>
      <c r="H9" s="2" t="s">
        <v>58</v>
      </c>
      <c r="I9" s="60" t="s">
        <v>355</v>
      </c>
      <c r="J9" s="2" t="s">
        <v>299</v>
      </c>
      <c r="K9" s="60">
        <v>24</v>
      </c>
      <c r="L9" s="2">
        <v>14</v>
      </c>
      <c r="M9" s="90"/>
    </row>
    <row r="10" spans="1:13" ht="75">
      <c r="A10" s="2" t="s">
        <v>356</v>
      </c>
      <c r="B10" s="2" t="s">
        <v>357</v>
      </c>
      <c r="C10" s="2">
        <v>3</v>
      </c>
      <c r="D10" s="2" t="s">
        <v>24</v>
      </c>
      <c r="E10" s="60" t="s">
        <v>24</v>
      </c>
      <c r="F10" s="2" t="s">
        <v>16</v>
      </c>
      <c r="G10" s="60" t="s">
        <v>16</v>
      </c>
      <c r="H10" s="2" t="s">
        <v>189</v>
      </c>
      <c r="I10" s="60" t="s">
        <v>189</v>
      </c>
      <c r="J10" s="2" t="s">
        <v>189</v>
      </c>
      <c r="K10" s="60">
        <v>0.75</v>
      </c>
      <c r="L10" s="2">
        <v>100</v>
      </c>
      <c r="M10" s="91"/>
    </row>
    <row r="11" spans="1:13" ht="45">
      <c r="A11" s="2" t="s">
        <v>358</v>
      </c>
      <c r="B11" s="2" t="s">
        <v>359</v>
      </c>
      <c r="C11" s="2">
        <v>200</v>
      </c>
      <c r="D11" s="2" t="s">
        <v>56</v>
      </c>
      <c r="E11" s="60" t="s">
        <v>11</v>
      </c>
      <c r="F11" s="2" t="s">
        <v>58</v>
      </c>
      <c r="G11" s="60" t="s">
        <v>360</v>
      </c>
      <c r="H11" s="2" t="s">
        <v>4</v>
      </c>
      <c r="I11" s="60" t="s">
        <v>7</v>
      </c>
      <c r="J11" s="2" t="s">
        <v>92</v>
      </c>
      <c r="K11" s="60">
        <v>18</v>
      </c>
      <c r="L11" s="2">
        <v>28.5</v>
      </c>
      <c r="M11" s="90"/>
    </row>
    <row r="12" spans="1:13" ht="60">
      <c r="A12" s="2" t="s">
        <v>362</v>
      </c>
      <c r="B12" s="2" t="s">
        <v>363</v>
      </c>
      <c r="C12" s="2">
        <v>0.5</v>
      </c>
      <c r="D12" s="2" t="s">
        <v>364</v>
      </c>
      <c r="E12" s="60" t="s">
        <v>11</v>
      </c>
      <c r="F12" s="2" t="s">
        <v>364</v>
      </c>
      <c r="G12" s="60" t="s">
        <v>364</v>
      </c>
      <c r="H12" s="2" t="s">
        <v>365</v>
      </c>
      <c r="I12" s="60" t="s">
        <v>7</v>
      </c>
      <c r="J12" s="2" t="s">
        <v>91</v>
      </c>
      <c r="K12" s="60" t="s">
        <v>11</v>
      </c>
      <c r="L12" s="2">
        <v>2</v>
      </c>
      <c r="M12" s="90"/>
    </row>
    <row r="13" spans="1:13">
      <c r="L13" s="2">
        <f>SUBTOTAL(109,ReporteAvancePlanIndicativo317[Consolidado 2020 - 2023*])/11</f>
        <v>55.991818181818182</v>
      </c>
    </row>
  </sheetData>
  <phoneticPr fontId="4" type="noConversion"/>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97637-0996-4648-954B-D11E5998CC99}">
  <dimension ref="A1:M24"/>
  <sheetViews>
    <sheetView topLeftCell="A16" workbookViewId="0">
      <selection activeCell="N21" sqref="N21"/>
    </sheetView>
  </sheetViews>
  <sheetFormatPr baseColWidth="10" defaultColWidth="9.140625" defaultRowHeight="15"/>
  <cols>
    <col min="1" max="1" width="25.5703125" style="2" customWidth="1"/>
    <col min="2" max="2" width="28" style="2" customWidth="1"/>
    <col min="3" max="4" width="13.85546875" style="2" customWidth="1"/>
    <col min="5" max="5" width="12.140625" style="2" customWidth="1"/>
    <col min="6" max="6" width="13.85546875" style="2" customWidth="1"/>
    <col min="7" max="7" width="12.5703125" style="2" customWidth="1"/>
    <col min="8" max="8" width="13.85546875" style="2" customWidth="1"/>
    <col min="9" max="9" width="12.42578125" style="2" customWidth="1"/>
    <col min="10" max="10" width="13.85546875" style="2" customWidth="1"/>
    <col min="11" max="11" width="13.140625" style="2" customWidth="1"/>
    <col min="12" max="12" width="15.85546875" style="2" customWidth="1"/>
    <col min="13" max="13" width="8.5703125" style="2" customWidth="1"/>
    <col min="14" max="21" width="13.85546875" style="2" customWidth="1"/>
    <col min="22" max="16384" width="9.140625" style="2"/>
  </cols>
  <sheetData>
    <row r="1" spans="1:13" s="3" customFormat="1" ht="30">
      <c r="A1" s="3" t="s">
        <v>566</v>
      </c>
      <c r="B1" s="3" t="s">
        <v>567</v>
      </c>
      <c r="C1" s="3" t="s">
        <v>568</v>
      </c>
      <c r="D1" s="3" t="s">
        <v>569</v>
      </c>
      <c r="E1" s="3" t="s">
        <v>570</v>
      </c>
      <c r="F1" s="3" t="s">
        <v>574</v>
      </c>
      <c r="G1" s="3" t="s">
        <v>575</v>
      </c>
      <c r="H1" s="3" t="s">
        <v>579</v>
      </c>
      <c r="I1" s="3" t="s">
        <v>580</v>
      </c>
      <c r="J1" s="3" t="s">
        <v>584</v>
      </c>
      <c r="K1" s="3" t="s">
        <v>585</v>
      </c>
      <c r="L1" s="3" t="s">
        <v>644</v>
      </c>
      <c r="M1" s="3" t="s">
        <v>649</v>
      </c>
    </row>
    <row r="2" spans="1:13" ht="30">
      <c r="A2" s="2" t="s">
        <v>309</v>
      </c>
      <c r="B2" s="2" t="s">
        <v>309</v>
      </c>
      <c r="C2" s="2">
        <v>3</v>
      </c>
      <c r="D2" s="2" t="s">
        <v>10</v>
      </c>
      <c r="E2" s="60" t="s">
        <v>11</v>
      </c>
      <c r="F2" s="2" t="s">
        <v>10</v>
      </c>
      <c r="G2" s="60" t="s">
        <v>11</v>
      </c>
      <c r="H2" s="2" t="s">
        <v>10</v>
      </c>
      <c r="I2" s="60" t="s">
        <v>11</v>
      </c>
      <c r="J2" s="2" t="s">
        <v>16</v>
      </c>
      <c r="K2" s="60" t="s">
        <v>77</v>
      </c>
      <c r="L2" s="2">
        <v>20</v>
      </c>
      <c r="M2" s="90"/>
    </row>
    <row r="3" spans="1:13" ht="57.75" customHeight="1">
      <c r="A3" s="2" t="s">
        <v>311</v>
      </c>
      <c r="B3" s="2" t="s">
        <v>312</v>
      </c>
      <c r="C3" s="2">
        <v>160</v>
      </c>
      <c r="D3" s="2" t="s">
        <v>42</v>
      </c>
      <c r="E3" s="60" t="s">
        <v>42</v>
      </c>
      <c r="F3" s="2" t="s">
        <v>42</v>
      </c>
      <c r="G3" s="60" t="s">
        <v>42</v>
      </c>
      <c r="H3" s="2" t="s">
        <v>42</v>
      </c>
      <c r="I3" s="60" t="s">
        <v>42</v>
      </c>
      <c r="J3" s="2" t="s">
        <v>42</v>
      </c>
      <c r="K3" s="60" t="s">
        <v>314</v>
      </c>
      <c r="L3" s="2">
        <v>91.87</v>
      </c>
      <c r="M3" s="91"/>
    </row>
    <row r="4" spans="1:13">
      <c r="A4" s="2" t="s">
        <v>315</v>
      </c>
      <c r="B4" s="2" t="s">
        <v>316</v>
      </c>
      <c r="C4" s="2">
        <v>5</v>
      </c>
      <c r="D4" s="2" t="s">
        <v>13</v>
      </c>
      <c r="E4" s="60" t="s">
        <v>13</v>
      </c>
      <c r="F4" s="2" t="s">
        <v>13</v>
      </c>
      <c r="G4" s="60" t="s">
        <v>13</v>
      </c>
      <c r="H4" s="2" t="s">
        <v>24</v>
      </c>
      <c r="I4" s="60" t="s">
        <v>91</v>
      </c>
      <c r="J4" s="2" t="s">
        <v>24</v>
      </c>
      <c r="K4" s="60" t="s">
        <v>77</v>
      </c>
      <c r="L4" s="2">
        <v>89</v>
      </c>
      <c r="M4" s="91"/>
    </row>
    <row r="5" spans="1:13" ht="45">
      <c r="A5" s="2" t="s">
        <v>317</v>
      </c>
      <c r="B5" s="2" t="s">
        <v>318</v>
      </c>
      <c r="C5" s="2">
        <v>10</v>
      </c>
      <c r="D5" s="2" t="s">
        <v>24</v>
      </c>
      <c r="E5" s="60" t="s">
        <v>11</v>
      </c>
      <c r="F5" s="2" t="s">
        <v>319</v>
      </c>
      <c r="G5" s="60" t="s">
        <v>319</v>
      </c>
      <c r="H5" s="2" t="s">
        <v>320</v>
      </c>
      <c r="I5" s="60" t="s">
        <v>320</v>
      </c>
      <c r="J5" s="2" t="s">
        <v>320</v>
      </c>
      <c r="K5" s="60" t="s">
        <v>77</v>
      </c>
      <c r="L5" s="2">
        <v>72</v>
      </c>
      <c r="M5" s="92"/>
    </row>
    <row r="6" spans="1:13" ht="30">
      <c r="A6" s="2" t="s">
        <v>321</v>
      </c>
      <c r="B6" s="2" t="s">
        <v>321</v>
      </c>
      <c r="C6" s="2">
        <v>3</v>
      </c>
      <c r="D6" s="2" t="s">
        <v>10</v>
      </c>
      <c r="E6" s="60" t="s">
        <v>11</v>
      </c>
      <c r="F6" s="2" t="s">
        <v>10</v>
      </c>
      <c r="G6" s="60" t="s">
        <v>11</v>
      </c>
      <c r="H6" s="2" t="s">
        <v>10</v>
      </c>
      <c r="I6" s="60" t="s">
        <v>11</v>
      </c>
      <c r="J6" s="2" t="s">
        <v>16</v>
      </c>
      <c r="K6" s="60" t="s">
        <v>29</v>
      </c>
      <c r="L6" s="2">
        <v>0</v>
      </c>
      <c r="M6" s="90"/>
    </row>
    <row r="7" spans="1:13" ht="75.75" customHeight="1">
      <c r="A7" s="2" t="s">
        <v>322</v>
      </c>
      <c r="B7" s="2" t="s">
        <v>323</v>
      </c>
      <c r="C7" s="2">
        <v>10</v>
      </c>
      <c r="D7" s="2" t="s">
        <v>10</v>
      </c>
      <c r="E7" s="60" t="s">
        <v>11</v>
      </c>
      <c r="F7" s="2" t="s">
        <v>10</v>
      </c>
      <c r="G7" s="60" t="s">
        <v>11</v>
      </c>
      <c r="H7" s="2" t="s">
        <v>10</v>
      </c>
      <c r="I7" s="60" t="s">
        <v>29</v>
      </c>
      <c r="J7" s="2" t="s">
        <v>56</v>
      </c>
      <c r="K7" s="60" t="s">
        <v>324</v>
      </c>
      <c r="L7" s="2">
        <v>10.3</v>
      </c>
      <c r="M7" s="90"/>
    </row>
    <row r="8" spans="1:13" ht="56.25" customHeight="1">
      <c r="A8" s="2" t="s">
        <v>185</v>
      </c>
      <c r="B8" s="2" t="s">
        <v>326</v>
      </c>
      <c r="C8" s="2">
        <v>1</v>
      </c>
      <c r="D8" s="2" t="s">
        <v>10</v>
      </c>
      <c r="E8" s="60" t="s">
        <v>11</v>
      </c>
      <c r="F8" s="2" t="s">
        <v>10</v>
      </c>
      <c r="G8" s="60" t="s">
        <v>11</v>
      </c>
      <c r="H8" s="2" t="s">
        <v>16</v>
      </c>
      <c r="I8" s="60" t="s">
        <v>29</v>
      </c>
      <c r="J8" s="2" t="s">
        <v>10</v>
      </c>
      <c r="K8" s="60" t="s">
        <v>16</v>
      </c>
      <c r="L8" s="2">
        <v>100</v>
      </c>
      <c r="M8" s="91"/>
    </row>
    <row r="9" spans="1:13" ht="51" customHeight="1">
      <c r="A9" s="2" t="s">
        <v>88</v>
      </c>
      <c r="B9" s="2" t="s">
        <v>327</v>
      </c>
      <c r="C9" s="2">
        <v>4</v>
      </c>
      <c r="D9" s="2" t="s">
        <v>10</v>
      </c>
      <c r="E9" s="60" t="s">
        <v>11</v>
      </c>
      <c r="F9" s="2" t="s">
        <v>10</v>
      </c>
      <c r="G9" s="60" t="s">
        <v>11</v>
      </c>
      <c r="H9" s="2" t="s">
        <v>10</v>
      </c>
      <c r="I9" s="60" t="s">
        <v>29</v>
      </c>
      <c r="J9" s="2" t="s">
        <v>212</v>
      </c>
      <c r="K9" s="60" t="s">
        <v>29</v>
      </c>
      <c r="L9" s="2">
        <v>0</v>
      </c>
      <c r="M9" s="90"/>
    </row>
    <row r="10" spans="1:13" ht="30">
      <c r="A10" s="2" t="s">
        <v>366</v>
      </c>
      <c r="B10" s="2" t="s">
        <v>366</v>
      </c>
      <c r="C10" s="2">
        <v>20</v>
      </c>
      <c r="D10" s="2" t="s">
        <v>10</v>
      </c>
      <c r="E10" s="60" t="s">
        <v>11</v>
      </c>
      <c r="F10" s="2" t="s">
        <v>56</v>
      </c>
      <c r="G10" s="60" t="s">
        <v>57</v>
      </c>
      <c r="H10" s="2" t="s">
        <v>172</v>
      </c>
      <c r="I10" s="60" t="s">
        <v>172</v>
      </c>
      <c r="J10" s="2" t="s">
        <v>172</v>
      </c>
      <c r="K10" s="60">
        <v>10</v>
      </c>
      <c r="L10" s="2">
        <v>100</v>
      </c>
      <c r="M10" s="91"/>
    </row>
    <row r="11" spans="1:13" ht="60">
      <c r="A11" s="2" t="s">
        <v>367</v>
      </c>
      <c r="B11" s="2" t="s">
        <v>369</v>
      </c>
      <c r="C11" s="2">
        <v>35</v>
      </c>
      <c r="D11" s="2" t="s">
        <v>62</v>
      </c>
      <c r="E11" s="60" t="s">
        <v>62</v>
      </c>
      <c r="F11" s="2" t="s">
        <v>62</v>
      </c>
      <c r="G11" s="60" t="s">
        <v>62</v>
      </c>
      <c r="H11" s="2" t="s">
        <v>62</v>
      </c>
      <c r="I11" s="60" t="s">
        <v>158</v>
      </c>
      <c r="J11" s="2" t="s">
        <v>125</v>
      </c>
      <c r="K11" s="60" t="s">
        <v>125</v>
      </c>
      <c r="L11" s="2">
        <v>100</v>
      </c>
      <c r="M11" s="91"/>
    </row>
    <row r="12" spans="1:13" ht="85.5" customHeight="1">
      <c r="A12" s="2" t="s">
        <v>370</v>
      </c>
      <c r="B12" s="2" t="s">
        <v>371</v>
      </c>
      <c r="C12" s="2">
        <v>64</v>
      </c>
      <c r="D12" s="2" t="s">
        <v>178</v>
      </c>
      <c r="E12" s="60" t="s">
        <v>178</v>
      </c>
      <c r="F12" s="2" t="s">
        <v>178</v>
      </c>
      <c r="G12" s="60" t="s">
        <v>178</v>
      </c>
      <c r="H12" s="2" t="s">
        <v>178</v>
      </c>
      <c r="I12" s="60" t="s">
        <v>92</v>
      </c>
      <c r="J12" s="2" t="s">
        <v>178</v>
      </c>
      <c r="K12" s="60" t="s">
        <v>178</v>
      </c>
      <c r="L12" s="2">
        <v>100</v>
      </c>
      <c r="M12" s="91"/>
    </row>
    <row r="13" spans="1:13" ht="30">
      <c r="A13" s="2" t="s">
        <v>372</v>
      </c>
      <c r="B13" s="2" t="s">
        <v>372</v>
      </c>
      <c r="C13" s="2">
        <v>2</v>
      </c>
      <c r="D13" s="2" t="s">
        <v>10</v>
      </c>
      <c r="E13" s="60" t="s">
        <v>11</v>
      </c>
      <c r="F13" s="2" t="s">
        <v>10</v>
      </c>
      <c r="G13" s="60" t="s">
        <v>11</v>
      </c>
      <c r="H13" s="2" t="s">
        <v>16</v>
      </c>
      <c r="I13" s="60" t="s">
        <v>16</v>
      </c>
      <c r="J13" s="2" t="s">
        <v>16</v>
      </c>
      <c r="K13" s="60" t="s">
        <v>16</v>
      </c>
      <c r="L13" s="2">
        <v>100</v>
      </c>
      <c r="M13" s="91"/>
    </row>
    <row r="14" spans="1:13" ht="60">
      <c r="A14" s="2" t="s">
        <v>373</v>
      </c>
      <c r="B14" s="2" t="s">
        <v>374</v>
      </c>
      <c r="C14" s="2">
        <v>4</v>
      </c>
      <c r="D14" s="2" t="s">
        <v>10</v>
      </c>
      <c r="E14" s="60" t="s">
        <v>11</v>
      </c>
      <c r="F14" s="2" t="s">
        <v>16</v>
      </c>
      <c r="G14" s="60" t="s">
        <v>16</v>
      </c>
      <c r="H14" s="2" t="s">
        <v>16</v>
      </c>
      <c r="I14" s="60" t="s">
        <v>29</v>
      </c>
      <c r="J14" s="2" t="s">
        <v>13</v>
      </c>
      <c r="K14" s="60" t="s">
        <v>13</v>
      </c>
      <c r="L14" s="2">
        <v>75</v>
      </c>
      <c r="M14" s="92"/>
    </row>
    <row r="15" spans="1:13" ht="30">
      <c r="A15" s="2" t="s">
        <v>375</v>
      </c>
      <c r="B15" s="2" t="s">
        <v>368</v>
      </c>
      <c r="C15" s="2">
        <v>12</v>
      </c>
      <c r="D15" s="2" t="s">
        <v>84</v>
      </c>
      <c r="E15" s="60" t="s">
        <v>84</v>
      </c>
      <c r="F15" s="2" t="s">
        <v>84</v>
      </c>
      <c r="G15" s="60" t="s">
        <v>84</v>
      </c>
      <c r="H15" s="2" t="s">
        <v>84</v>
      </c>
      <c r="I15" s="60" t="s">
        <v>84</v>
      </c>
      <c r="J15" s="2" t="s">
        <v>84</v>
      </c>
      <c r="K15" s="60" t="s">
        <v>206</v>
      </c>
      <c r="L15" s="2">
        <v>100</v>
      </c>
      <c r="M15" s="91"/>
    </row>
    <row r="16" spans="1:13" ht="30">
      <c r="A16" s="2" t="s">
        <v>377</v>
      </c>
      <c r="B16" s="2" t="s">
        <v>378</v>
      </c>
      <c r="C16" s="2">
        <v>2</v>
      </c>
      <c r="D16" s="2" t="s">
        <v>10</v>
      </c>
      <c r="E16" s="60" t="s">
        <v>11</v>
      </c>
      <c r="F16" s="2" t="s">
        <v>10</v>
      </c>
      <c r="G16" s="60" t="s">
        <v>11</v>
      </c>
      <c r="H16" s="2" t="s">
        <v>16</v>
      </c>
      <c r="I16" s="60" t="s">
        <v>16</v>
      </c>
      <c r="J16" s="2" t="s">
        <v>16</v>
      </c>
      <c r="K16" s="60" t="s">
        <v>16</v>
      </c>
      <c r="L16" s="2">
        <v>100</v>
      </c>
      <c r="M16" s="91"/>
    </row>
    <row r="17" spans="1:13" ht="45">
      <c r="A17" s="2" t="s">
        <v>379</v>
      </c>
      <c r="B17" s="2" t="s">
        <v>379</v>
      </c>
      <c r="C17" s="2">
        <v>6</v>
      </c>
      <c r="D17" s="2" t="s">
        <v>16</v>
      </c>
      <c r="E17" s="60" t="s">
        <v>16</v>
      </c>
      <c r="F17" s="2" t="s">
        <v>13</v>
      </c>
      <c r="G17" s="60" t="s">
        <v>13</v>
      </c>
      <c r="H17" s="2" t="s">
        <v>13</v>
      </c>
      <c r="I17" s="60" t="s">
        <v>16</v>
      </c>
      <c r="J17" s="2" t="s">
        <v>16</v>
      </c>
      <c r="K17" s="60" t="s">
        <v>212</v>
      </c>
      <c r="L17" s="2">
        <v>100</v>
      </c>
      <c r="M17" s="91"/>
    </row>
    <row r="18" spans="1:13" ht="131.25" customHeight="1">
      <c r="A18" s="2" t="s">
        <v>380</v>
      </c>
      <c r="B18" s="2" t="s">
        <v>380</v>
      </c>
      <c r="C18" s="2">
        <v>1</v>
      </c>
      <c r="D18" s="2" t="s">
        <v>16</v>
      </c>
      <c r="E18" s="60" t="s">
        <v>16</v>
      </c>
      <c r="F18" s="2" t="s">
        <v>16</v>
      </c>
      <c r="G18" s="60" t="s">
        <v>29</v>
      </c>
      <c r="H18" s="2" t="s">
        <v>10</v>
      </c>
      <c r="I18" s="60" t="s">
        <v>11</v>
      </c>
      <c r="J18" s="2" t="s">
        <v>10</v>
      </c>
      <c r="K18" s="60" t="s">
        <v>16</v>
      </c>
      <c r="L18" s="2">
        <v>100</v>
      </c>
      <c r="M18" s="91"/>
    </row>
    <row r="19" spans="1:13" ht="60">
      <c r="A19" s="2" t="s">
        <v>383</v>
      </c>
      <c r="B19" s="2" t="s">
        <v>383</v>
      </c>
      <c r="C19" s="2">
        <v>1</v>
      </c>
      <c r="D19" s="2" t="s">
        <v>77</v>
      </c>
      <c r="E19" s="60" t="s">
        <v>11</v>
      </c>
      <c r="F19" s="2" t="s">
        <v>10</v>
      </c>
      <c r="G19" s="60" t="s">
        <v>11</v>
      </c>
      <c r="H19" s="2" t="s">
        <v>77</v>
      </c>
      <c r="I19" s="60" t="s">
        <v>29</v>
      </c>
      <c r="J19" s="2" t="s">
        <v>340</v>
      </c>
      <c r="K19" s="60" t="s">
        <v>340</v>
      </c>
      <c r="L19" s="2">
        <v>6</v>
      </c>
      <c r="M19" s="90"/>
    </row>
    <row r="20" spans="1:13" ht="60">
      <c r="A20" s="2" t="s">
        <v>384</v>
      </c>
      <c r="B20" s="2" t="s">
        <v>385</v>
      </c>
      <c r="C20" s="2">
        <v>6</v>
      </c>
      <c r="D20" s="2" t="s">
        <v>16</v>
      </c>
      <c r="E20" s="60" t="s">
        <v>16</v>
      </c>
      <c r="F20" s="2" t="s">
        <v>16</v>
      </c>
      <c r="G20" s="60" t="s">
        <v>16</v>
      </c>
      <c r="H20" s="2" t="s">
        <v>13</v>
      </c>
      <c r="I20" s="60" t="s">
        <v>13</v>
      </c>
      <c r="J20" s="2" t="s">
        <v>13</v>
      </c>
      <c r="K20" s="60" t="s">
        <v>13</v>
      </c>
      <c r="L20" s="2">
        <v>100</v>
      </c>
      <c r="M20" s="91"/>
    </row>
    <row r="21" spans="1:13" ht="45">
      <c r="A21" s="2" t="s">
        <v>386</v>
      </c>
      <c r="B21" s="2" t="s">
        <v>387</v>
      </c>
      <c r="C21" s="2">
        <v>1</v>
      </c>
      <c r="D21" s="2" t="s">
        <v>388</v>
      </c>
      <c r="E21" s="60" t="s">
        <v>11</v>
      </c>
      <c r="F21" s="2" t="s">
        <v>389</v>
      </c>
      <c r="G21" s="60" t="s">
        <v>389</v>
      </c>
      <c r="H21" s="2" t="s">
        <v>388</v>
      </c>
      <c r="I21" s="60" t="s">
        <v>388</v>
      </c>
      <c r="J21" s="2" t="s">
        <v>388</v>
      </c>
      <c r="K21" s="60" t="s">
        <v>388</v>
      </c>
      <c r="L21" s="2">
        <v>16</v>
      </c>
      <c r="M21" s="90"/>
    </row>
    <row r="22" spans="1:13" ht="57" customHeight="1">
      <c r="A22" s="2" t="s">
        <v>390</v>
      </c>
      <c r="B22" s="2" t="s">
        <v>391</v>
      </c>
      <c r="C22" s="2">
        <v>3610</v>
      </c>
      <c r="D22" s="2" t="s">
        <v>392</v>
      </c>
      <c r="E22" s="60" t="s">
        <v>392</v>
      </c>
      <c r="F22" s="2" t="s">
        <v>98</v>
      </c>
      <c r="G22" s="60" t="s">
        <v>98</v>
      </c>
      <c r="H22" s="2" t="s">
        <v>98</v>
      </c>
      <c r="I22" s="60" t="s">
        <v>393</v>
      </c>
      <c r="J22" s="2" t="s">
        <v>98</v>
      </c>
      <c r="K22" s="60" t="s">
        <v>168</v>
      </c>
      <c r="L22" s="2">
        <v>100</v>
      </c>
      <c r="M22" s="91"/>
    </row>
    <row r="23" spans="1:13" ht="63" customHeight="1">
      <c r="A23" s="2" t="s">
        <v>395</v>
      </c>
      <c r="B23" s="2" t="s">
        <v>396</v>
      </c>
      <c r="C23" s="2">
        <v>3</v>
      </c>
      <c r="D23" s="2" t="s">
        <v>10</v>
      </c>
      <c r="E23" s="60" t="s">
        <v>11</v>
      </c>
      <c r="F23" s="2" t="s">
        <v>16</v>
      </c>
      <c r="G23" s="60" t="s">
        <v>397</v>
      </c>
      <c r="H23" s="2" t="s">
        <v>13</v>
      </c>
      <c r="I23" s="60" t="s">
        <v>13</v>
      </c>
      <c r="J23" s="2" t="s">
        <v>10</v>
      </c>
      <c r="K23" s="60" t="s">
        <v>212</v>
      </c>
      <c r="L23" s="2">
        <v>100</v>
      </c>
      <c r="M23" s="91"/>
    </row>
    <row r="24" spans="1:13">
      <c r="L24" s="2">
        <f>SUBTOTAL(109,ReporteAvancePlanIndicativo31124[Consolidado 2020 - 2023*])/22</f>
        <v>71.825909090909093</v>
      </c>
    </row>
  </sheetData>
  <phoneticPr fontId="4" type="noConversion"/>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4"/>
  <sheetViews>
    <sheetView topLeftCell="H9" workbookViewId="0">
      <selection activeCell="P25" sqref="P25"/>
    </sheetView>
  </sheetViews>
  <sheetFormatPr baseColWidth="10" defaultColWidth="9.140625" defaultRowHeight="15"/>
  <cols>
    <col min="1" max="1" width="25.5703125" style="2" customWidth="1"/>
    <col min="2" max="2" width="28" style="2" customWidth="1"/>
    <col min="3" max="4" width="13.85546875" style="2" customWidth="1"/>
    <col min="5" max="5" width="12.140625" style="2" customWidth="1"/>
    <col min="6" max="6" width="11.7109375" style="2" customWidth="1"/>
    <col min="7" max="7" width="13.85546875" style="2" customWidth="1"/>
    <col min="8" max="8" width="17" style="2" customWidth="1"/>
    <col min="9" max="9" width="13.85546875" style="2" customWidth="1"/>
    <col min="10" max="10" width="12.5703125" style="2" customWidth="1"/>
    <col min="11" max="11" width="11.85546875" style="2" customWidth="1"/>
    <col min="12" max="14" width="13.85546875" style="2" customWidth="1"/>
    <col min="15" max="15" width="12.42578125" style="2" customWidth="1"/>
    <col min="16" max="16" width="11.85546875" style="2" customWidth="1"/>
    <col min="17" max="19" width="13.85546875" style="2" customWidth="1"/>
    <col min="20" max="20" width="13.140625" style="2" customWidth="1"/>
    <col min="21" max="21" width="12.140625" style="2" customWidth="1"/>
    <col min="22" max="22" width="13.85546875" style="2" customWidth="1"/>
    <col min="23" max="23" width="18.42578125" style="2" customWidth="1"/>
    <col min="24" max="33" width="13.85546875" style="2" customWidth="1"/>
    <col min="34" max="16384" width="9.140625" style="2"/>
  </cols>
  <sheetData>
    <row r="1" spans="1:23" s="3" customFormat="1" ht="30">
      <c r="A1" s="3" t="s">
        <v>566</v>
      </c>
      <c r="B1" s="3" t="s">
        <v>567</v>
      </c>
      <c r="C1" s="3" t="s">
        <v>568</v>
      </c>
      <c r="D1" s="3" t="s">
        <v>569</v>
      </c>
      <c r="E1" s="3" t="s">
        <v>570</v>
      </c>
      <c r="F1" s="3" t="s">
        <v>571</v>
      </c>
      <c r="G1" s="3" t="s">
        <v>572</v>
      </c>
      <c r="H1" s="3" t="s">
        <v>573</v>
      </c>
      <c r="I1" s="3" t="s">
        <v>574</v>
      </c>
      <c r="J1" s="3" t="s">
        <v>575</v>
      </c>
      <c r="K1" s="3" t="s">
        <v>576</v>
      </c>
      <c r="L1" s="3" t="s">
        <v>577</v>
      </c>
      <c r="M1" s="3" t="s">
        <v>578</v>
      </c>
      <c r="N1" s="3" t="s">
        <v>579</v>
      </c>
      <c r="O1" s="3" t="s">
        <v>580</v>
      </c>
      <c r="P1" s="3" t="s">
        <v>581</v>
      </c>
      <c r="Q1" s="3" t="s">
        <v>582</v>
      </c>
      <c r="R1" s="3" t="s">
        <v>583</v>
      </c>
      <c r="S1" s="3" t="s">
        <v>584</v>
      </c>
      <c r="T1" s="3" t="s">
        <v>585</v>
      </c>
      <c r="U1" s="3" t="s">
        <v>586</v>
      </c>
      <c r="V1" s="3" t="s">
        <v>587</v>
      </c>
      <c r="W1" s="3" t="s">
        <v>588</v>
      </c>
    </row>
    <row r="2" spans="1:23" ht="60">
      <c r="A2" s="2" t="s">
        <v>309</v>
      </c>
      <c r="B2" s="2" t="s">
        <v>309</v>
      </c>
      <c r="C2" s="2">
        <v>3</v>
      </c>
      <c r="D2" s="2" t="s">
        <v>10</v>
      </c>
      <c r="E2" s="2" t="s">
        <v>11</v>
      </c>
      <c r="F2" s="2">
        <v>0</v>
      </c>
      <c r="I2" s="2" t="s">
        <v>10</v>
      </c>
      <c r="J2" s="2" t="s">
        <v>11</v>
      </c>
      <c r="K2" s="2">
        <v>0</v>
      </c>
      <c r="N2" s="2" t="s">
        <v>10</v>
      </c>
      <c r="O2" s="2" t="s">
        <v>11</v>
      </c>
      <c r="P2" s="2">
        <v>0</v>
      </c>
      <c r="S2" s="2" t="s">
        <v>16</v>
      </c>
      <c r="T2" s="2" t="s">
        <v>77</v>
      </c>
      <c r="U2" s="2">
        <v>20</v>
      </c>
      <c r="V2" s="2" t="s">
        <v>14</v>
      </c>
      <c r="W2" s="2" t="s">
        <v>310</v>
      </c>
    </row>
    <row r="3" spans="1:23" ht="93.75" customHeight="1">
      <c r="A3" s="2" t="s">
        <v>311</v>
      </c>
      <c r="B3" s="2" t="s">
        <v>312</v>
      </c>
      <c r="C3" s="2">
        <v>160</v>
      </c>
      <c r="D3" s="2" t="s">
        <v>42</v>
      </c>
      <c r="E3" s="2" t="s">
        <v>42</v>
      </c>
      <c r="F3" s="2">
        <v>100</v>
      </c>
      <c r="G3" s="2" t="s">
        <v>5</v>
      </c>
      <c r="H3" s="2" t="s">
        <v>313</v>
      </c>
      <c r="I3" s="2" t="s">
        <v>42</v>
      </c>
      <c r="J3" s="2" t="s">
        <v>42</v>
      </c>
      <c r="K3" s="2">
        <v>100</v>
      </c>
      <c r="L3" s="2" t="s">
        <v>5</v>
      </c>
      <c r="N3" s="2" t="s">
        <v>42</v>
      </c>
      <c r="O3" s="2" t="s">
        <v>42</v>
      </c>
      <c r="P3" s="2">
        <v>100</v>
      </c>
      <c r="Q3" s="2" t="s">
        <v>5</v>
      </c>
      <c r="S3" s="2" t="s">
        <v>42</v>
      </c>
      <c r="T3" s="2" t="s">
        <v>314</v>
      </c>
      <c r="U3" s="2">
        <v>67.5</v>
      </c>
      <c r="V3" s="2" t="s">
        <v>59</v>
      </c>
    </row>
    <row r="4" spans="1:23" ht="60">
      <c r="A4" s="2" t="s">
        <v>315</v>
      </c>
      <c r="B4" s="2" t="s">
        <v>316</v>
      </c>
      <c r="C4" s="2">
        <v>5</v>
      </c>
      <c r="D4" s="2" t="s">
        <v>13</v>
      </c>
      <c r="E4" s="2" t="s">
        <v>13</v>
      </c>
      <c r="F4" s="2">
        <v>100</v>
      </c>
      <c r="G4" s="2" t="s">
        <v>5</v>
      </c>
      <c r="I4" s="2" t="s">
        <v>13</v>
      </c>
      <c r="J4" s="2" t="s">
        <v>13</v>
      </c>
      <c r="K4" s="2">
        <v>100</v>
      </c>
      <c r="L4" s="2" t="s">
        <v>5</v>
      </c>
      <c r="N4" s="2" t="s">
        <v>24</v>
      </c>
      <c r="O4" s="2" t="s">
        <v>91</v>
      </c>
      <c r="P4" s="2">
        <v>50</v>
      </c>
      <c r="Q4" s="2" t="s">
        <v>18</v>
      </c>
      <c r="S4" s="2" t="s">
        <v>24</v>
      </c>
      <c r="T4" s="2" t="s">
        <v>77</v>
      </c>
      <c r="U4" s="2">
        <v>40</v>
      </c>
      <c r="V4" s="2" t="s">
        <v>18</v>
      </c>
      <c r="W4" s="2" t="s">
        <v>310</v>
      </c>
    </row>
    <row r="5" spans="1:23" ht="60">
      <c r="A5" s="2" t="s">
        <v>317</v>
      </c>
      <c r="B5" s="2" t="s">
        <v>318</v>
      </c>
      <c r="C5" s="2">
        <v>10</v>
      </c>
      <c r="D5" s="2" t="s">
        <v>24</v>
      </c>
      <c r="E5" s="2" t="s">
        <v>11</v>
      </c>
      <c r="F5" s="2">
        <v>0</v>
      </c>
      <c r="G5" s="2" t="s">
        <v>14</v>
      </c>
      <c r="I5" s="2" t="s">
        <v>319</v>
      </c>
      <c r="J5" s="2" t="s">
        <v>319</v>
      </c>
      <c r="K5" s="2">
        <v>100</v>
      </c>
      <c r="L5" s="2" t="s">
        <v>5</v>
      </c>
      <c r="N5" s="2" t="s">
        <v>320</v>
      </c>
      <c r="O5" s="2" t="s">
        <v>320</v>
      </c>
      <c r="P5" s="2">
        <v>100</v>
      </c>
      <c r="Q5" s="2" t="s">
        <v>5</v>
      </c>
      <c r="S5" s="2" t="s">
        <v>320</v>
      </c>
      <c r="T5" s="2" t="s">
        <v>77</v>
      </c>
      <c r="U5" s="2">
        <v>8</v>
      </c>
      <c r="V5" s="2" t="s">
        <v>14</v>
      </c>
      <c r="W5" s="2" t="s">
        <v>310</v>
      </c>
    </row>
    <row r="6" spans="1:23" ht="30">
      <c r="A6" s="2" t="s">
        <v>321</v>
      </c>
      <c r="B6" s="2" t="s">
        <v>321</v>
      </c>
      <c r="C6" s="2">
        <v>3</v>
      </c>
      <c r="D6" s="2" t="s">
        <v>10</v>
      </c>
      <c r="E6" s="2" t="s">
        <v>11</v>
      </c>
      <c r="F6" s="2">
        <v>0</v>
      </c>
      <c r="I6" s="2" t="s">
        <v>10</v>
      </c>
      <c r="J6" s="2" t="s">
        <v>11</v>
      </c>
      <c r="K6" s="2">
        <v>0</v>
      </c>
      <c r="N6" s="2" t="s">
        <v>10</v>
      </c>
      <c r="O6" s="2" t="s">
        <v>11</v>
      </c>
      <c r="P6" s="2">
        <v>0</v>
      </c>
      <c r="S6" s="2" t="s">
        <v>16</v>
      </c>
      <c r="T6" s="2" t="s">
        <v>29</v>
      </c>
      <c r="U6" s="2">
        <v>0</v>
      </c>
      <c r="V6" s="2" t="s">
        <v>14</v>
      </c>
    </row>
    <row r="7" spans="1:23" ht="75.75" customHeight="1">
      <c r="A7" s="2" t="s">
        <v>322</v>
      </c>
      <c r="B7" s="2" t="s">
        <v>323</v>
      </c>
      <c r="C7" s="2">
        <v>10</v>
      </c>
      <c r="D7" s="2" t="s">
        <v>10</v>
      </c>
      <c r="E7" s="2" t="s">
        <v>11</v>
      </c>
      <c r="F7" s="2">
        <v>0</v>
      </c>
      <c r="I7" s="2" t="s">
        <v>10</v>
      </c>
      <c r="J7" s="2" t="s">
        <v>11</v>
      </c>
      <c r="K7" s="2">
        <v>0</v>
      </c>
      <c r="N7" s="2" t="s">
        <v>10</v>
      </c>
      <c r="O7" s="2" t="s">
        <v>29</v>
      </c>
      <c r="P7" s="2">
        <v>0</v>
      </c>
      <c r="S7" s="2" t="s">
        <v>56</v>
      </c>
      <c r="T7" s="2" t="s">
        <v>324</v>
      </c>
      <c r="U7" s="2">
        <v>10.3</v>
      </c>
      <c r="V7" s="2" t="s">
        <v>14</v>
      </c>
      <c r="W7" s="2" t="s">
        <v>325</v>
      </c>
    </row>
    <row r="8" spans="1:23" ht="56.25" customHeight="1">
      <c r="A8" s="2" t="s">
        <v>185</v>
      </c>
      <c r="B8" s="2" t="s">
        <v>326</v>
      </c>
      <c r="C8" s="2">
        <v>1</v>
      </c>
      <c r="D8" s="2" t="s">
        <v>10</v>
      </c>
      <c r="E8" s="2" t="s">
        <v>11</v>
      </c>
      <c r="F8" s="2">
        <v>0</v>
      </c>
      <c r="I8" s="2" t="s">
        <v>10</v>
      </c>
      <c r="J8" s="2" t="s">
        <v>11</v>
      </c>
      <c r="K8" s="2">
        <v>0</v>
      </c>
      <c r="N8" s="2" t="s">
        <v>16</v>
      </c>
      <c r="O8" s="2" t="s">
        <v>29</v>
      </c>
      <c r="P8" s="2">
        <v>0</v>
      </c>
      <c r="Q8" s="2" t="s">
        <v>14</v>
      </c>
      <c r="S8" s="2" t="s">
        <v>10</v>
      </c>
      <c r="T8" s="2" t="s">
        <v>16</v>
      </c>
      <c r="U8" s="2">
        <v>0</v>
      </c>
      <c r="W8" s="2" t="s">
        <v>603</v>
      </c>
    </row>
    <row r="9" spans="1:23" ht="51" customHeight="1">
      <c r="A9" s="2" t="s">
        <v>88</v>
      </c>
      <c r="B9" s="2" t="s">
        <v>327</v>
      </c>
      <c r="C9" s="2">
        <v>4</v>
      </c>
      <c r="D9" s="2" t="s">
        <v>10</v>
      </c>
      <c r="E9" s="2" t="s">
        <v>11</v>
      </c>
      <c r="F9" s="2">
        <v>0</v>
      </c>
      <c r="I9" s="2" t="s">
        <v>10</v>
      </c>
      <c r="J9" s="2" t="s">
        <v>11</v>
      </c>
      <c r="K9" s="2">
        <v>0</v>
      </c>
      <c r="N9" s="2" t="s">
        <v>10</v>
      </c>
      <c r="O9" s="2" t="s">
        <v>29</v>
      </c>
      <c r="P9" s="2">
        <v>0</v>
      </c>
      <c r="S9" s="2" t="s">
        <v>212</v>
      </c>
      <c r="T9" s="2" t="s">
        <v>29</v>
      </c>
      <c r="U9" s="2">
        <v>0</v>
      </c>
      <c r="V9" s="2" t="s">
        <v>14</v>
      </c>
      <c r="W9" s="2" t="s">
        <v>604</v>
      </c>
    </row>
    <row r="10" spans="1:23" ht="30">
      <c r="A10" s="2" t="s">
        <v>366</v>
      </c>
      <c r="B10" s="2" t="s">
        <v>366</v>
      </c>
      <c r="C10" s="2">
        <v>20</v>
      </c>
      <c r="D10" s="2" t="s">
        <v>10</v>
      </c>
      <c r="E10" s="2" t="s">
        <v>11</v>
      </c>
      <c r="F10" s="2">
        <v>0</v>
      </c>
      <c r="I10" s="2" t="s">
        <v>56</v>
      </c>
      <c r="J10" s="2" t="s">
        <v>57</v>
      </c>
      <c r="K10" s="2">
        <v>70</v>
      </c>
      <c r="L10" s="2" t="s">
        <v>59</v>
      </c>
      <c r="N10" s="2" t="s">
        <v>172</v>
      </c>
      <c r="O10" s="2" t="s">
        <v>172</v>
      </c>
      <c r="P10" s="2">
        <v>100</v>
      </c>
      <c r="Q10" s="2" t="s">
        <v>5</v>
      </c>
      <c r="S10" s="2" t="s">
        <v>172</v>
      </c>
      <c r="T10" s="2">
        <v>10</v>
      </c>
      <c r="U10" s="2">
        <v>100</v>
      </c>
      <c r="V10" s="2" t="s">
        <v>5</v>
      </c>
      <c r="W10" s="2" t="s">
        <v>140</v>
      </c>
    </row>
    <row r="11" spans="1:23" ht="60">
      <c r="A11" s="2" t="s">
        <v>367</v>
      </c>
      <c r="B11" s="2" t="s">
        <v>369</v>
      </c>
      <c r="C11" s="2">
        <v>35</v>
      </c>
      <c r="D11" s="2" t="s">
        <v>62</v>
      </c>
      <c r="E11" s="2" t="s">
        <v>62</v>
      </c>
      <c r="F11" s="2">
        <v>100</v>
      </c>
      <c r="G11" s="2" t="s">
        <v>5</v>
      </c>
      <c r="I11" s="2" t="s">
        <v>62</v>
      </c>
      <c r="J11" s="2" t="s">
        <v>62</v>
      </c>
      <c r="K11" s="2">
        <v>100</v>
      </c>
      <c r="L11" s="2" t="s">
        <v>5</v>
      </c>
      <c r="N11" s="2" t="s">
        <v>62</v>
      </c>
      <c r="O11" s="2" t="s">
        <v>158</v>
      </c>
      <c r="P11" s="2">
        <v>100</v>
      </c>
      <c r="Q11" s="2" t="s">
        <v>5</v>
      </c>
      <c r="S11" s="2" t="s">
        <v>125</v>
      </c>
      <c r="T11" s="2" t="s">
        <v>125</v>
      </c>
      <c r="U11" s="2">
        <v>100</v>
      </c>
      <c r="V11" s="2" t="s">
        <v>5</v>
      </c>
      <c r="W11" s="2" t="s">
        <v>140</v>
      </c>
    </row>
    <row r="12" spans="1:23" ht="85.5" customHeight="1">
      <c r="A12" s="2" t="s">
        <v>370</v>
      </c>
      <c r="B12" s="2" t="s">
        <v>371</v>
      </c>
      <c r="C12" s="2">
        <v>64</v>
      </c>
      <c r="D12" s="2" t="s">
        <v>178</v>
      </c>
      <c r="E12" s="2" t="s">
        <v>178</v>
      </c>
      <c r="F12" s="2">
        <v>100</v>
      </c>
      <c r="G12" s="2" t="s">
        <v>5</v>
      </c>
      <c r="I12" s="2" t="s">
        <v>178</v>
      </c>
      <c r="J12" s="2" t="s">
        <v>178</v>
      </c>
      <c r="K12" s="2">
        <v>100</v>
      </c>
      <c r="L12" s="2" t="s">
        <v>5</v>
      </c>
      <c r="N12" s="2" t="s">
        <v>178</v>
      </c>
      <c r="O12" s="2" t="s">
        <v>92</v>
      </c>
      <c r="P12" s="2">
        <v>100</v>
      </c>
      <c r="Q12" s="2" t="s">
        <v>5</v>
      </c>
      <c r="S12" s="2" t="s">
        <v>178</v>
      </c>
      <c r="T12" s="2" t="s">
        <v>178</v>
      </c>
      <c r="U12" s="2">
        <v>100</v>
      </c>
      <c r="V12" s="2" t="s">
        <v>5</v>
      </c>
    </row>
    <row r="13" spans="1:23" ht="30">
      <c r="A13" s="2" t="s">
        <v>372</v>
      </c>
      <c r="B13" s="2" t="s">
        <v>372</v>
      </c>
      <c r="C13" s="2">
        <v>2</v>
      </c>
      <c r="D13" s="2" t="s">
        <v>10</v>
      </c>
      <c r="E13" s="2" t="s">
        <v>11</v>
      </c>
      <c r="F13" s="2">
        <v>0</v>
      </c>
      <c r="I13" s="2" t="s">
        <v>10</v>
      </c>
      <c r="J13" s="2" t="s">
        <v>11</v>
      </c>
      <c r="K13" s="2">
        <v>0</v>
      </c>
      <c r="N13" s="2" t="s">
        <v>16</v>
      </c>
      <c r="O13" s="2" t="s">
        <v>16</v>
      </c>
      <c r="P13" s="2">
        <v>100</v>
      </c>
      <c r="Q13" s="2" t="s">
        <v>5</v>
      </c>
      <c r="S13" s="2" t="s">
        <v>16</v>
      </c>
      <c r="T13" s="2" t="s">
        <v>16</v>
      </c>
      <c r="U13" s="2">
        <v>100</v>
      </c>
      <c r="V13" s="2" t="s">
        <v>5</v>
      </c>
    </row>
    <row r="14" spans="1:23" ht="60">
      <c r="A14" s="2" t="s">
        <v>373</v>
      </c>
      <c r="B14" s="2" t="s">
        <v>374</v>
      </c>
      <c r="C14" s="2">
        <v>4</v>
      </c>
      <c r="D14" s="2" t="s">
        <v>10</v>
      </c>
      <c r="E14" s="2" t="s">
        <v>11</v>
      </c>
      <c r="F14" s="2">
        <v>0</v>
      </c>
      <c r="I14" s="2" t="s">
        <v>16</v>
      </c>
      <c r="J14" s="2" t="s">
        <v>16</v>
      </c>
      <c r="K14" s="2">
        <v>100</v>
      </c>
      <c r="L14" s="2" t="s">
        <v>5</v>
      </c>
      <c r="N14" s="2" t="s">
        <v>16</v>
      </c>
      <c r="O14" s="2" t="s">
        <v>29</v>
      </c>
      <c r="P14" s="2">
        <v>0</v>
      </c>
      <c r="Q14" s="2" t="s">
        <v>14</v>
      </c>
      <c r="S14" s="2" t="s">
        <v>13</v>
      </c>
      <c r="T14" s="2" t="s">
        <v>13</v>
      </c>
      <c r="U14" s="2">
        <v>100</v>
      </c>
      <c r="V14" s="2" t="s">
        <v>5</v>
      </c>
      <c r="W14" s="2" t="s">
        <v>140</v>
      </c>
    </row>
    <row r="15" spans="1:23" ht="165">
      <c r="A15" s="2" t="s">
        <v>375</v>
      </c>
      <c r="B15" s="2" t="s">
        <v>368</v>
      </c>
      <c r="C15" s="2">
        <v>12</v>
      </c>
      <c r="D15" s="2" t="s">
        <v>84</v>
      </c>
      <c r="E15" s="2" t="s">
        <v>84</v>
      </c>
      <c r="F15" s="2">
        <v>100</v>
      </c>
      <c r="G15" s="2" t="s">
        <v>5</v>
      </c>
      <c r="I15" s="2" t="s">
        <v>84</v>
      </c>
      <c r="J15" s="2" t="s">
        <v>84</v>
      </c>
      <c r="K15" s="2">
        <v>100</v>
      </c>
      <c r="L15" s="2" t="s">
        <v>5</v>
      </c>
      <c r="N15" s="2" t="s">
        <v>84</v>
      </c>
      <c r="O15" s="2" t="s">
        <v>84</v>
      </c>
      <c r="P15" s="2">
        <v>100</v>
      </c>
      <c r="Q15" s="2" t="s">
        <v>5</v>
      </c>
      <c r="R15" s="2" t="s">
        <v>376</v>
      </c>
      <c r="S15" s="2" t="s">
        <v>84</v>
      </c>
      <c r="T15" s="2" t="s">
        <v>206</v>
      </c>
      <c r="U15" s="2">
        <v>100</v>
      </c>
      <c r="V15" s="2" t="s">
        <v>5</v>
      </c>
      <c r="W15" s="2" t="s">
        <v>140</v>
      </c>
    </row>
    <row r="16" spans="1:23" ht="30">
      <c r="A16" s="2" t="s">
        <v>377</v>
      </c>
      <c r="B16" s="2" t="s">
        <v>378</v>
      </c>
      <c r="C16" s="2">
        <v>2</v>
      </c>
      <c r="D16" s="2" t="s">
        <v>10</v>
      </c>
      <c r="E16" s="2" t="s">
        <v>11</v>
      </c>
      <c r="F16" s="2">
        <v>0</v>
      </c>
      <c r="I16" s="2" t="s">
        <v>10</v>
      </c>
      <c r="J16" s="2" t="s">
        <v>11</v>
      </c>
      <c r="K16" s="2">
        <v>0</v>
      </c>
      <c r="N16" s="2" t="s">
        <v>16</v>
      </c>
      <c r="O16" s="2" t="s">
        <v>16</v>
      </c>
      <c r="P16" s="2">
        <v>100</v>
      </c>
      <c r="Q16" s="2" t="s">
        <v>5</v>
      </c>
      <c r="S16" s="2" t="s">
        <v>16</v>
      </c>
      <c r="T16" s="2" t="s">
        <v>16</v>
      </c>
      <c r="U16" s="2">
        <v>100</v>
      </c>
      <c r="V16" s="2" t="s">
        <v>5</v>
      </c>
      <c r="W16" s="2" t="s">
        <v>140</v>
      </c>
    </row>
    <row r="17" spans="1:23" ht="45">
      <c r="A17" s="2" t="s">
        <v>379</v>
      </c>
      <c r="B17" s="2" t="s">
        <v>379</v>
      </c>
      <c r="C17" s="2">
        <v>6</v>
      </c>
      <c r="D17" s="2" t="s">
        <v>16</v>
      </c>
      <c r="E17" s="2" t="s">
        <v>16</v>
      </c>
      <c r="F17" s="2">
        <v>100</v>
      </c>
      <c r="G17" s="2" t="s">
        <v>5</v>
      </c>
      <c r="I17" s="2" t="s">
        <v>13</v>
      </c>
      <c r="J17" s="2" t="s">
        <v>13</v>
      </c>
      <c r="K17" s="2">
        <v>100</v>
      </c>
      <c r="L17" s="2" t="s">
        <v>5</v>
      </c>
      <c r="N17" s="2" t="s">
        <v>13</v>
      </c>
      <c r="O17" s="2" t="s">
        <v>16</v>
      </c>
      <c r="P17" s="2">
        <v>50</v>
      </c>
      <c r="Q17" s="2" t="s">
        <v>18</v>
      </c>
      <c r="S17" s="2" t="s">
        <v>16</v>
      </c>
      <c r="T17" s="2" t="s">
        <v>212</v>
      </c>
      <c r="U17" s="2">
        <v>100</v>
      </c>
      <c r="V17" s="2" t="s">
        <v>5</v>
      </c>
      <c r="W17" s="2" t="s">
        <v>140</v>
      </c>
    </row>
    <row r="18" spans="1:23" ht="131.25" customHeight="1">
      <c r="A18" s="2" t="s">
        <v>380</v>
      </c>
      <c r="B18" s="2" t="s">
        <v>380</v>
      </c>
      <c r="C18" s="2">
        <v>1</v>
      </c>
      <c r="D18" s="2" t="s">
        <v>16</v>
      </c>
      <c r="E18" s="2" t="s">
        <v>16</v>
      </c>
      <c r="F18" s="2">
        <v>100</v>
      </c>
      <c r="G18" s="2" t="s">
        <v>5</v>
      </c>
      <c r="H18" s="2" t="s">
        <v>381</v>
      </c>
      <c r="I18" s="2" t="s">
        <v>16</v>
      </c>
      <c r="J18" s="2" t="s">
        <v>29</v>
      </c>
      <c r="K18" s="2">
        <v>0</v>
      </c>
      <c r="L18" s="2" t="s">
        <v>14</v>
      </c>
      <c r="N18" s="2" t="s">
        <v>10</v>
      </c>
      <c r="O18" s="2" t="s">
        <v>11</v>
      </c>
      <c r="P18" s="2">
        <v>0</v>
      </c>
      <c r="S18" s="2" t="s">
        <v>10</v>
      </c>
      <c r="T18" s="2" t="s">
        <v>16</v>
      </c>
      <c r="U18" s="2">
        <v>0</v>
      </c>
      <c r="W18" s="2" t="s">
        <v>382</v>
      </c>
    </row>
    <row r="19" spans="1:23" ht="60">
      <c r="A19" s="2" t="s">
        <v>383</v>
      </c>
      <c r="B19" s="2" t="s">
        <v>383</v>
      </c>
      <c r="C19" s="2">
        <v>1</v>
      </c>
      <c r="D19" s="2" t="s">
        <v>77</v>
      </c>
      <c r="E19" s="2" t="s">
        <v>11</v>
      </c>
      <c r="F19" s="2">
        <v>0</v>
      </c>
      <c r="G19" s="2" t="s">
        <v>14</v>
      </c>
      <c r="I19" s="2" t="s">
        <v>10</v>
      </c>
      <c r="J19" s="2" t="s">
        <v>11</v>
      </c>
      <c r="K19" s="2">
        <v>0</v>
      </c>
      <c r="N19" s="2" t="s">
        <v>77</v>
      </c>
      <c r="O19" s="2" t="s">
        <v>29</v>
      </c>
      <c r="P19" s="2">
        <v>0</v>
      </c>
      <c r="Q19" s="2" t="s">
        <v>14</v>
      </c>
      <c r="S19" s="2" t="s">
        <v>340</v>
      </c>
      <c r="T19" s="2" t="s">
        <v>340</v>
      </c>
      <c r="U19" s="2">
        <v>100</v>
      </c>
      <c r="V19" s="2" t="s">
        <v>5</v>
      </c>
      <c r="W19" s="2" t="s">
        <v>140</v>
      </c>
    </row>
    <row r="20" spans="1:23" ht="60">
      <c r="A20" s="2" t="s">
        <v>384</v>
      </c>
      <c r="B20" s="2" t="s">
        <v>385</v>
      </c>
      <c r="C20" s="2">
        <v>6</v>
      </c>
      <c r="D20" s="2" t="s">
        <v>16</v>
      </c>
      <c r="E20" s="2" t="s">
        <v>16</v>
      </c>
      <c r="F20" s="2">
        <v>100</v>
      </c>
      <c r="G20" s="2" t="s">
        <v>5</v>
      </c>
      <c r="I20" s="2" t="s">
        <v>16</v>
      </c>
      <c r="J20" s="2" t="s">
        <v>16</v>
      </c>
      <c r="K20" s="2">
        <v>100</v>
      </c>
      <c r="L20" s="2" t="s">
        <v>5</v>
      </c>
      <c r="N20" s="2" t="s">
        <v>13</v>
      </c>
      <c r="O20" s="2" t="s">
        <v>13</v>
      </c>
      <c r="P20" s="2">
        <v>100</v>
      </c>
      <c r="Q20" s="2" t="s">
        <v>5</v>
      </c>
      <c r="S20" s="2" t="s">
        <v>13</v>
      </c>
      <c r="T20" s="2" t="s">
        <v>13</v>
      </c>
      <c r="U20" s="2">
        <v>100</v>
      </c>
      <c r="V20" s="2" t="s">
        <v>5</v>
      </c>
      <c r="W20" s="2" t="s">
        <v>140</v>
      </c>
    </row>
    <row r="21" spans="1:23" ht="45">
      <c r="A21" s="2" t="s">
        <v>386</v>
      </c>
      <c r="B21" s="2" t="s">
        <v>387</v>
      </c>
      <c r="C21" s="2">
        <v>1</v>
      </c>
      <c r="D21" s="2" t="s">
        <v>388</v>
      </c>
      <c r="E21" s="2" t="s">
        <v>11</v>
      </c>
      <c r="F21" s="2">
        <v>0</v>
      </c>
      <c r="G21" s="2" t="s">
        <v>14</v>
      </c>
      <c r="I21" s="2" t="s">
        <v>389</v>
      </c>
      <c r="J21" s="2" t="s">
        <v>389</v>
      </c>
      <c r="K21" s="2">
        <v>100</v>
      </c>
      <c r="L21" s="2" t="s">
        <v>5</v>
      </c>
      <c r="N21" s="2" t="s">
        <v>388</v>
      </c>
      <c r="O21" s="2" t="s">
        <v>388</v>
      </c>
      <c r="P21" s="2">
        <v>100</v>
      </c>
      <c r="Q21" s="2" t="s">
        <v>5</v>
      </c>
      <c r="S21" s="2" t="s">
        <v>388</v>
      </c>
      <c r="T21" s="2" t="s">
        <v>388</v>
      </c>
      <c r="U21" s="2">
        <v>100</v>
      </c>
      <c r="V21" s="2" t="s">
        <v>5</v>
      </c>
      <c r="W21" s="2" t="s">
        <v>140</v>
      </c>
    </row>
    <row r="22" spans="1:23" ht="57" customHeight="1">
      <c r="A22" s="2" t="s">
        <v>390</v>
      </c>
      <c r="B22" s="2" t="s">
        <v>391</v>
      </c>
      <c r="C22" s="2">
        <v>3610</v>
      </c>
      <c r="D22" s="2" t="s">
        <v>392</v>
      </c>
      <c r="E22" s="2" t="s">
        <v>392</v>
      </c>
      <c r="F22" s="2">
        <v>100</v>
      </c>
      <c r="G22" s="2" t="s">
        <v>5</v>
      </c>
      <c r="I22" s="2" t="s">
        <v>98</v>
      </c>
      <c r="J22" s="2" t="s">
        <v>98</v>
      </c>
      <c r="K22" s="2">
        <v>100</v>
      </c>
      <c r="L22" s="2" t="s">
        <v>5</v>
      </c>
      <c r="N22" s="2" t="s">
        <v>98</v>
      </c>
      <c r="O22" s="2" t="s">
        <v>393</v>
      </c>
      <c r="P22" s="2">
        <v>100</v>
      </c>
      <c r="Q22" s="2" t="s">
        <v>5</v>
      </c>
      <c r="S22" s="2" t="s">
        <v>98</v>
      </c>
      <c r="T22" s="2" t="s">
        <v>168</v>
      </c>
      <c r="U22" s="2">
        <v>100</v>
      </c>
      <c r="V22" s="2" t="s">
        <v>5</v>
      </c>
      <c r="W22" s="2" t="s">
        <v>394</v>
      </c>
    </row>
    <row r="23" spans="1:23" ht="63" customHeight="1">
      <c r="A23" s="2" t="s">
        <v>395</v>
      </c>
      <c r="B23" s="2" t="s">
        <v>396</v>
      </c>
      <c r="C23" s="2">
        <v>3</v>
      </c>
      <c r="D23" s="2" t="s">
        <v>10</v>
      </c>
      <c r="E23" s="2" t="s">
        <v>11</v>
      </c>
      <c r="F23" s="2">
        <v>0</v>
      </c>
      <c r="I23" s="2" t="s">
        <v>16</v>
      </c>
      <c r="J23" s="2" t="s">
        <v>397</v>
      </c>
      <c r="K23" s="2">
        <v>26</v>
      </c>
      <c r="L23" s="2" t="s">
        <v>14</v>
      </c>
      <c r="N23" s="2" t="s">
        <v>13</v>
      </c>
      <c r="O23" s="2" t="s">
        <v>13</v>
      </c>
      <c r="P23" s="2">
        <v>100</v>
      </c>
      <c r="Q23" s="2" t="s">
        <v>5</v>
      </c>
      <c r="S23" s="2" t="s">
        <v>10</v>
      </c>
      <c r="T23" s="2" t="s">
        <v>212</v>
      </c>
      <c r="U23" s="2">
        <v>0</v>
      </c>
      <c r="W23" s="2" t="s">
        <v>398</v>
      </c>
    </row>
    <row r="24" spans="1:23">
      <c r="F24" s="2">
        <f>SUBTOTAL(109,ReporteAvancePlanIndicativo311[% Avance 2020])/12</f>
        <v>75</v>
      </c>
      <c r="K24" s="2">
        <f>SUBTOTAL(109,ReporteAvancePlanIndicativo311[% Avance 2021])/14</f>
        <v>85.428571428571431</v>
      </c>
      <c r="P24" s="2">
        <f>SUBTOTAL(109,ReporteAvancePlanIndicativo311[% Avance 2022])/17</f>
        <v>76.470588235294116</v>
      </c>
      <c r="U24" s="2">
        <f>SUBTOTAL(109,ReporteAvancePlanIndicativo311[% Avance 2023])/19</f>
        <v>70.831578947368413</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DFB69-D761-4837-AAE8-33D5EDB65651}">
  <dimension ref="A1:W12"/>
  <sheetViews>
    <sheetView topLeftCell="A7" workbookViewId="0">
      <selection activeCell="P13" sqref="P13"/>
    </sheetView>
  </sheetViews>
  <sheetFormatPr baseColWidth="10" defaultColWidth="9.140625" defaultRowHeight="15"/>
  <cols>
    <col min="1" max="1" width="24.140625" style="2" customWidth="1"/>
    <col min="2" max="2" width="30.140625" style="2" customWidth="1"/>
    <col min="3" max="6" width="12.140625" style="2" customWidth="1"/>
    <col min="7" max="7" width="14.28515625" style="2" customWidth="1"/>
    <col min="8" max="11" width="12.140625" style="2" customWidth="1"/>
    <col min="12" max="12" width="13.140625" style="2" customWidth="1"/>
    <col min="13" max="13" width="16.7109375" style="2" customWidth="1"/>
    <col min="14" max="16" width="12.140625" style="2" customWidth="1"/>
    <col min="17" max="17" width="13.140625" style="2" customWidth="1"/>
    <col min="18" max="18" width="19.28515625" style="2" customWidth="1"/>
    <col min="19" max="19" width="12.140625" style="2" customWidth="1"/>
    <col min="20" max="20" width="11" style="2" customWidth="1"/>
    <col min="21" max="21" width="12.140625" style="2" customWidth="1"/>
    <col min="22" max="22" width="15" style="2" customWidth="1"/>
    <col min="23" max="23" width="32.28515625" style="2" customWidth="1"/>
    <col min="24" max="24" width="12.140625" style="2" customWidth="1"/>
    <col min="25" max="16384" width="9.140625" style="2"/>
  </cols>
  <sheetData>
    <row r="1" spans="1:23" s="3" customFormat="1" ht="30">
      <c r="A1" s="3" t="s">
        <v>566</v>
      </c>
      <c r="B1" s="3" t="s">
        <v>567</v>
      </c>
      <c r="C1" s="3" t="s">
        <v>568</v>
      </c>
      <c r="D1" s="3" t="s">
        <v>569</v>
      </c>
      <c r="E1" s="3" t="s">
        <v>570</v>
      </c>
      <c r="F1" s="3" t="s">
        <v>571</v>
      </c>
      <c r="G1" s="3" t="s">
        <v>572</v>
      </c>
      <c r="H1" s="3" t="s">
        <v>573</v>
      </c>
      <c r="I1" s="3" t="s">
        <v>574</v>
      </c>
      <c r="J1" s="3" t="s">
        <v>575</v>
      </c>
      <c r="K1" s="3" t="s">
        <v>576</v>
      </c>
      <c r="L1" s="3" t="s">
        <v>577</v>
      </c>
      <c r="M1" s="3" t="s">
        <v>578</v>
      </c>
      <c r="N1" s="3" t="s">
        <v>579</v>
      </c>
      <c r="O1" s="3" t="s">
        <v>580</v>
      </c>
      <c r="P1" s="3" t="s">
        <v>581</v>
      </c>
      <c r="Q1" s="3" t="s">
        <v>582</v>
      </c>
      <c r="R1" s="3" t="s">
        <v>583</v>
      </c>
      <c r="S1" s="3" t="s">
        <v>584</v>
      </c>
      <c r="T1" s="3" t="s">
        <v>585</v>
      </c>
      <c r="U1" s="3" t="s">
        <v>586</v>
      </c>
      <c r="V1" s="3" t="s">
        <v>587</v>
      </c>
      <c r="W1" s="3" t="s">
        <v>588</v>
      </c>
    </row>
    <row r="2" spans="1:23" ht="30">
      <c r="A2" s="2" t="s">
        <v>328</v>
      </c>
      <c r="B2" s="2" t="s">
        <v>329</v>
      </c>
      <c r="C2" s="2">
        <v>1</v>
      </c>
      <c r="D2" s="2" t="s">
        <v>10</v>
      </c>
      <c r="E2" s="2" t="s">
        <v>11</v>
      </c>
      <c r="F2" s="2">
        <v>0</v>
      </c>
      <c r="I2" s="2" t="s">
        <v>10</v>
      </c>
      <c r="J2" s="2" t="s">
        <v>11</v>
      </c>
      <c r="K2" s="2">
        <v>0</v>
      </c>
      <c r="N2" s="2" t="s">
        <v>77</v>
      </c>
      <c r="O2" s="2" t="s">
        <v>11</v>
      </c>
      <c r="P2" s="2">
        <v>0</v>
      </c>
      <c r="Q2" s="2" t="s">
        <v>14</v>
      </c>
      <c r="S2" s="2" t="s">
        <v>330</v>
      </c>
      <c r="T2" s="2" t="s">
        <v>330</v>
      </c>
      <c r="U2" s="2">
        <v>100</v>
      </c>
      <c r="V2" s="2" t="s">
        <v>5</v>
      </c>
      <c r="W2" s="2" t="s">
        <v>140</v>
      </c>
    </row>
    <row r="3" spans="1:23" ht="112.5" customHeight="1">
      <c r="A3" s="2" t="s">
        <v>331</v>
      </c>
      <c r="B3" s="2" t="s">
        <v>332</v>
      </c>
      <c r="C3" s="2">
        <v>1</v>
      </c>
      <c r="D3" s="2" t="s">
        <v>10</v>
      </c>
      <c r="E3" s="2" t="s">
        <v>11</v>
      </c>
      <c r="F3" s="2">
        <v>0</v>
      </c>
      <c r="I3" s="2" t="s">
        <v>77</v>
      </c>
      <c r="J3" s="2" t="s">
        <v>77</v>
      </c>
      <c r="K3" s="2">
        <v>100</v>
      </c>
      <c r="L3" s="2" t="s">
        <v>5</v>
      </c>
      <c r="M3" s="2" t="s">
        <v>333</v>
      </c>
      <c r="N3" s="2" t="s">
        <v>10</v>
      </c>
      <c r="O3" s="2" t="s">
        <v>11</v>
      </c>
      <c r="P3" s="2">
        <v>0</v>
      </c>
      <c r="S3" s="2" t="s">
        <v>330</v>
      </c>
      <c r="T3" s="2" t="s">
        <v>29</v>
      </c>
      <c r="U3" s="2">
        <v>0</v>
      </c>
      <c r="V3" s="2" t="s">
        <v>14</v>
      </c>
      <c r="W3" s="2" t="s">
        <v>596</v>
      </c>
    </row>
    <row r="4" spans="1:23" ht="150" customHeight="1">
      <c r="A4" s="2" t="s">
        <v>88</v>
      </c>
      <c r="B4" s="2" t="s">
        <v>334</v>
      </c>
      <c r="C4" s="2">
        <v>5</v>
      </c>
      <c r="D4" s="2" t="s">
        <v>13</v>
      </c>
      <c r="E4" s="2" t="s">
        <v>11</v>
      </c>
      <c r="F4" s="2">
        <v>0</v>
      </c>
      <c r="G4" s="2" t="s">
        <v>14</v>
      </c>
      <c r="I4" s="2" t="s">
        <v>16</v>
      </c>
      <c r="J4" s="2" t="s">
        <v>16</v>
      </c>
      <c r="K4" s="2">
        <v>100</v>
      </c>
      <c r="L4" s="2" t="s">
        <v>5</v>
      </c>
      <c r="N4" s="2" t="s">
        <v>13</v>
      </c>
      <c r="O4" s="2" t="s">
        <v>13</v>
      </c>
      <c r="P4" s="2">
        <v>100</v>
      </c>
      <c r="Q4" s="2" t="s">
        <v>5</v>
      </c>
      <c r="R4" s="2" t="s">
        <v>335</v>
      </c>
      <c r="S4" s="2" t="s">
        <v>13</v>
      </c>
      <c r="T4" s="2">
        <v>0</v>
      </c>
      <c r="U4" s="2">
        <v>0</v>
      </c>
      <c r="V4" s="2" t="s">
        <v>14</v>
      </c>
    </row>
    <row r="5" spans="1:23" ht="30">
      <c r="A5" s="2" t="s">
        <v>328</v>
      </c>
      <c r="B5" s="2" t="s">
        <v>336</v>
      </c>
      <c r="C5" s="2">
        <v>3000</v>
      </c>
      <c r="D5" s="2" t="s">
        <v>265</v>
      </c>
      <c r="E5" s="2" t="s">
        <v>265</v>
      </c>
      <c r="F5" s="2">
        <v>100</v>
      </c>
      <c r="G5" s="2" t="s">
        <v>5</v>
      </c>
      <c r="I5" s="2" t="s">
        <v>337</v>
      </c>
      <c r="J5" s="2" t="s">
        <v>337</v>
      </c>
      <c r="K5" s="2">
        <v>100</v>
      </c>
      <c r="L5" s="2" t="s">
        <v>5</v>
      </c>
      <c r="N5" s="2" t="s">
        <v>338</v>
      </c>
      <c r="O5" s="2" t="s">
        <v>338</v>
      </c>
      <c r="P5" s="2">
        <v>100</v>
      </c>
      <c r="Q5" s="2" t="s">
        <v>5</v>
      </c>
      <c r="S5" s="2" t="s">
        <v>10</v>
      </c>
      <c r="T5" s="2" t="s">
        <v>11</v>
      </c>
      <c r="U5" s="2">
        <v>0</v>
      </c>
    </row>
    <row r="6" spans="1:23" ht="69.75" customHeight="1">
      <c r="A6" s="2" t="s">
        <v>399</v>
      </c>
      <c r="B6" s="2" t="s">
        <v>400</v>
      </c>
      <c r="C6" s="2">
        <v>1</v>
      </c>
      <c r="D6" s="2" t="s">
        <v>10</v>
      </c>
      <c r="E6" s="2" t="s">
        <v>11</v>
      </c>
      <c r="F6" s="2">
        <v>0</v>
      </c>
      <c r="I6" s="2" t="s">
        <v>10</v>
      </c>
      <c r="J6" s="2" t="s">
        <v>11</v>
      </c>
      <c r="K6" s="2">
        <v>0</v>
      </c>
      <c r="N6" s="2" t="s">
        <v>10</v>
      </c>
      <c r="O6" s="2" t="s">
        <v>11</v>
      </c>
      <c r="P6" s="2">
        <v>0</v>
      </c>
      <c r="S6" s="2" t="s">
        <v>16</v>
      </c>
      <c r="T6" s="2" t="s">
        <v>29</v>
      </c>
      <c r="U6" s="2">
        <v>0</v>
      </c>
      <c r="V6" s="2" t="s">
        <v>14</v>
      </c>
      <c r="W6" s="2" t="s">
        <v>401</v>
      </c>
    </row>
    <row r="7" spans="1:23" ht="93.75" customHeight="1">
      <c r="A7" s="2" t="s">
        <v>402</v>
      </c>
      <c r="B7" s="2" t="s">
        <v>403</v>
      </c>
      <c r="C7" s="2">
        <v>2</v>
      </c>
      <c r="D7" s="2" t="s">
        <v>24</v>
      </c>
      <c r="E7" s="2" t="s">
        <v>24</v>
      </c>
      <c r="F7" s="2">
        <v>100</v>
      </c>
      <c r="G7" s="2" t="s">
        <v>5</v>
      </c>
      <c r="I7" s="2" t="s">
        <v>24</v>
      </c>
      <c r="J7" s="2" t="s">
        <v>7</v>
      </c>
      <c r="K7" s="2">
        <v>0</v>
      </c>
      <c r="L7" s="2" t="s">
        <v>14</v>
      </c>
      <c r="N7" s="2" t="s">
        <v>24</v>
      </c>
      <c r="O7" s="2" t="s">
        <v>24</v>
      </c>
      <c r="P7" s="2">
        <v>100</v>
      </c>
      <c r="Q7" s="2" t="s">
        <v>5</v>
      </c>
      <c r="R7" s="2" t="s">
        <v>404</v>
      </c>
      <c r="S7" s="2" t="s">
        <v>16</v>
      </c>
      <c r="T7" s="2">
        <v>0.92</v>
      </c>
      <c r="U7" s="2">
        <v>92</v>
      </c>
      <c r="V7" s="2" t="s">
        <v>5</v>
      </c>
      <c r="W7" s="2" t="s">
        <v>405</v>
      </c>
    </row>
    <row r="8" spans="1:23" ht="99.75" customHeight="1">
      <c r="A8" s="2" t="s">
        <v>406</v>
      </c>
      <c r="B8" s="2" t="s">
        <v>407</v>
      </c>
      <c r="C8" s="2">
        <v>2500</v>
      </c>
      <c r="D8" s="2" t="s">
        <v>299</v>
      </c>
      <c r="E8" s="2" t="s">
        <v>299</v>
      </c>
      <c r="F8" s="2">
        <v>100</v>
      </c>
      <c r="G8" s="2" t="s">
        <v>5</v>
      </c>
      <c r="I8" s="2" t="s">
        <v>337</v>
      </c>
      <c r="J8" s="2" t="s">
        <v>408</v>
      </c>
      <c r="K8" s="2">
        <v>100</v>
      </c>
      <c r="L8" s="2" t="s">
        <v>5</v>
      </c>
      <c r="N8" s="2" t="s">
        <v>409</v>
      </c>
      <c r="O8" s="2" t="s">
        <v>410</v>
      </c>
      <c r="P8" s="2">
        <v>81</v>
      </c>
      <c r="Q8" s="2" t="s">
        <v>5</v>
      </c>
      <c r="R8" s="2" t="s">
        <v>411</v>
      </c>
      <c r="S8" s="2" t="s">
        <v>10</v>
      </c>
      <c r="T8" s="2" t="s">
        <v>11</v>
      </c>
      <c r="U8" s="2">
        <v>0</v>
      </c>
    </row>
    <row r="9" spans="1:23" ht="86.25" customHeight="1">
      <c r="A9" s="2" t="s">
        <v>412</v>
      </c>
      <c r="B9" s="2" t="s">
        <v>413</v>
      </c>
      <c r="C9" s="2">
        <v>1</v>
      </c>
      <c r="D9" s="2" t="s">
        <v>10</v>
      </c>
      <c r="E9" s="2" t="s">
        <v>11</v>
      </c>
      <c r="F9" s="2">
        <v>0</v>
      </c>
      <c r="I9" s="2" t="s">
        <v>24</v>
      </c>
      <c r="J9" s="2" t="s">
        <v>414</v>
      </c>
      <c r="K9" s="2">
        <v>66</v>
      </c>
      <c r="L9" s="2" t="s">
        <v>59</v>
      </c>
      <c r="N9" s="2" t="s">
        <v>91</v>
      </c>
      <c r="O9" s="2" t="s">
        <v>91</v>
      </c>
      <c r="P9" s="2">
        <v>100</v>
      </c>
      <c r="Q9" s="2" t="s">
        <v>5</v>
      </c>
      <c r="S9" s="2" t="s">
        <v>91</v>
      </c>
      <c r="T9" s="2">
        <v>0.23</v>
      </c>
      <c r="U9" s="2">
        <v>80</v>
      </c>
      <c r="V9" s="2" t="s">
        <v>5</v>
      </c>
      <c r="W9" s="2" t="s">
        <v>415</v>
      </c>
    </row>
    <row r="10" spans="1:23" ht="60">
      <c r="A10" s="2" t="s">
        <v>416</v>
      </c>
      <c r="B10" s="2" t="s">
        <v>417</v>
      </c>
      <c r="C10" s="2">
        <v>1</v>
      </c>
      <c r="D10" s="2" t="s">
        <v>16</v>
      </c>
      <c r="E10" s="2" t="s">
        <v>11</v>
      </c>
      <c r="F10" s="2">
        <v>0</v>
      </c>
      <c r="G10" s="2" t="s">
        <v>14</v>
      </c>
      <c r="I10" s="2" t="s">
        <v>10</v>
      </c>
      <c r="J10" s="2" t="s">
        <v>11</v>
      </c>
      <c r="K10" s="2">
        <v>0</v>
      </c>
      <c r="N10" s="2" t="s">
        <v>16</v>
      </c>
      <c r="O10" s="2" t="s">
        <v>16</v>
      </c>
      <c r="P10" s="2">
        <v>100</v>
      </c>
      <c r="Q10" s="2" t="s">
        <v>5</v>
      </c>
      <c r="R10" s="2" t="s">
        <v>418</v>
      </c>
      <c r="S10" s="2" t="s">
        <v>10</v>
      </c>
      <c r="T10" s="2" t="s">
        <v>29</v>
      </c>
      <c r="U10" s="2">
        <v>0</v>
      </c>
    </row>
    <row r="11" spans="1:23" ht="122.25" customHeight="1">
      <c r="A11" s="2" t="s">
        <v>419</v>
      </c>
      <c r="B11" s="2" t="s">
        <v>420</v>
      </c>
      <c r="C11" s="2">
        <v>2</v>
      </c>
      <c r="D11" s="2" t="s">
        <v>230</v>
      </c>
      <c r="E11" s="2" t="s">
        <v>230</v>
      </c>
      <c r="F11" s="2">
        <v>100</v>
      </c>
      <c r="G11" s="2" t="s">
        <v>5</v>
      </c>
      <c r="H11" s="2" t="s">
        <v>140</v>
      </c>
      <c r="I11" s="2" t="s">
        <v>230</v>
      </c>
      <c r="J11" s="2" t="s">
        <v>364</v>
      </c>
      <c r="K11" s="2">
        <v>10</v>
      </c>
      <c r="L11" s="2" t="s">
        <v>14</v>
      </c>
      <c r="N11" s="2" t="s">
        <v>421</v>
      </c>
      <c r="O11" s="2" t="s">
        <v>29</v>
      </c>
      <c r="P11" s="2">
        <v>0</v>
      </c>
      <c r="Q11" s="2" t="s">
        <v>14</v>
      </c>
      <c r="S11" s="2" t="s">
        <v>421</v>
      </c>
      <c r="T11" s="2">
        <v>0.75</v>
      </c>
      <c r="U11" s="57">
        <v>78</v>
      </c>
      <c r="V11" s="2" t="s">
        <v>108</v>
      </c>
      <c r="W11" s="2" t="s">
        <v>597</v>
      </c>
    </row>
    <row r="12" spans="1:23">
      <c r="F12" s="2">
        <f>SUBTOTAL(109,ReporteAvancePlanIndicativo31225[% Avance 2020])/6</f>
        <v>66.666666666666671</v>
      </c>
      <c r="K12" s="2">
        <f>SUBTOTAL(109,ReporteAvancePlanIndicativo31225[% Avance 2021])/7</f>
        <v>68</v>
      </c>
      <c r="P12" s="2">
        <f>SUBTOTAL(109,ReporteAvancePlanIndicativo31225[% Avance 2022])/8</f>
        <v>72.625</v>
      </c>
      <c r="U12" s="2">
        <f>SUBTOTAL(109,ReporteAvancePlanIndicativo31225[% Avance 2023])/7</f>
        <v>50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1FA45-7306-4E7C-8374-46BD0CB8D74B}">
  <dimension ref="B2:J37"/>
  <sheetViews>
    <sheetView showGridLines="0" workbookViewId="0">
      <selection activeCell="G26" sqref="G26"/>
    </sheetView>
  </sheetViews>
  <sheetFormatPr baseColWidth="10" defaultRowHeight="15"/>
  <cols>
    <col min="1" max="1" width="5.5703125" style="7" customWidth="1"/>
    <col min="2" max="2" width="6.5703125" style="6" customWidth="1"/>
    <col min="3" max="3" width="17.42578125" style="7" customWidth="1"/>
    <col min="4" max="7" width="11.42578125" style="7"/>
    <col min="8" max="8" width="12.85546875" style="7" customWidth="1"/>
    <col min="9" max="16384" width="11.42578125" style="7"/>
  </cols>
  <sheetData>
    <row r="2" spans="2:10" ht="15" customHeight="1">
      <c r="B2" s="85" t="s">
        <v>638</v>
      </c>
      <c r="C2" s="86"/>
      <c r="D2" s="15">
        <v>2020</v>
      </c>
      <c r="E2" s="15">
        <v>2021</v>
      </c>
      <c r="F2" s="15">
        <v>2022</v>
      </c>
      <c r="G2" s="50" t="s">
        <v>639</v>
      </c>
      <c r="H2" s="87" t="s">
        <v>640</v>
      </c>
    </row>
    <row r="3" spans="2:10" ht="30">
      <c r="B3" s="14" t="s">
        <v>606</v>
      </c>
      <c r="C3" s="14" t="s">
        <v>608</v>
      </c>
      <c r="D3" s="14" t="s">
        <v>637</v>
      </c>
      <c r="E3" s="14" t="s">
        <v>637</v>
      </c>
      <c r="F3" s="14" t="s">
        <v>637</v>
      </c>
      <c r="G3" s="14" t="s">
        <v>637</v>
      </c>
      <c r="H3" s="87"/>
    </row>
    <row r="4" spans="2:10" ht="20.25" customHeight="1">
      <c r="B4" s="14">
        <v>1</v>
      </c>
      <c r="C4" s="15" t="s">
        <v>614</v>
      </c>
      <c r="D4" s="15">
        <v>77.27</v>
      </c>
      <c r="E4" s="15">
        <v>74.94</v>
      </c>
      <c r="F4" s="15">
        <v>86.83</v>
      </c>
      <c r="G4" s="15">
        <v>74.319999999999993</v>
      </c>
      <c r="H4" s="15">
        <v>82.34</v>
      </c>
      <c r="I4" s="7" t="s">
        <v>140</v>
      </c>
      <c r="J4" s="7" t="s">
        <v>140</v>
      </c>
    </row>
    <row r="5" spans="2:10" ht="20.25" customHeight="1">
      <c r="B5" s="14">
        <v>2</v>
      </c>
      <c r="C5" s="15" t="s">
        <v>615</v>
      </c>
      <c r="D5" s="15">
        <v>84.37</v>
      </c>
      <c r="E5" s="15">
        <v>83.82</v>
      </c>
      <c r="F5" s="15">
        <v>71.430000000000007</v>
      </c>
      <c r="G5" s="15">
        <v>76.98</v>
      </c>
      <c r="H5" s="15">
        <v>86.17</v>
      </c>
    </row>
    <row r="6" spans="2:10" ht="20.25" customHeight="1">
      <c r="B6" s="14">
        <v>3</v>
      </c>
      <c r="C6" s="15" t="s">
        <v>616</v>
      </c>
      <c r="D6" s="15">
        <v>91.66</v>
      </c>
      <c r="E6" s="15">
        <v>89.73</v>
      </c>
      <c r="F6" s="15">
        <v>91.66</v>
      </c>
      <c r="G6" s="15">
        <v>83.42</v>
      </c>
      <c r="H6" s="15">
        <v>82.87</v>
      </c>
    </row>
    <row r="7" spans="2:10" ht="20.25" customHeight="1">
      <c r="B7" s="14">
        <v>4</v>
      </c>
      <c r="C7" s="15" t="s">
        <v>118</v>
      </c>
      <c r="D7" s="15">
        <v>33.33</v>
      </c>
      <c r="E7" s="15">
        <v>83.67</v>
      </c>
      <c r="F7" s="15">
        <v>98.65</v>
      </c>
      <c r="G7" s="15">
        <v>87.2</v>
      </c>
      <c r="H7" s="15">
        <v>97.5</v>
      </c>
    </row>
    <row r="8" spans="2:10" ht="20.25" customHeight="1">
      <c r="B8" s="14">
        <v>5</v>
      </c>
      <c r="C8" s="15" t="s">
        <v>0</v>
      </c>
      <c r="D8" s="15">
        <v>28.57</v>
      </c>
      <c r="E8" s="15">
        <v>70.2</v>
      </c>
      <c r="F8" s="15">
        <v>100</v>
      </c>
      <c r="G8" s="15">
        <v>90.9</v>
      </c>
      <c r="H8" s="15">
        <v>79</v>
      </c>
    </row>
    <row r="9" spans="2:10" ht="20.25" customHeight="1">
      <c r="B9" s="14">
        <v>6</v>
      </c>
      <c r="C9" s="15" t="s">
        <v>617</v>
      </c>
      <c r="D9" s="15">
        <v>85.71</v>
      </c>
      <c r="E9" s="15">
        <v>100</v>
      </c>
      <c r="F9" s="15">
        <v>91.66</v>
      </c>
      <c r="G9" s="15">
        <v>82.85</v>
      </c>
      <c r="H9" s="15">
        <v>93.28</v>
      </c>
    </row>
    <row r="10" spans="2:10" ht="20.25" customHeight="1">
      <c r="B10" s="14">
        <v>7</v>
      </c>
      <c r="C10" s="15" t="s">
        <v>619</v>
      </c>
      <c r="D10" s="15">
        <v>23.33</v>
      </c>
      <c r="E10" s="15">
        <v>82.92</v>
      </c>
      <c r="F10" s="15">
        <v>63.96</v>
      </c>
      <c r="G10" s="15">
        <v>50.71</v>
      </c>
      <c r="H10" s="15">
        <v>55.99</v>
      </c>
    </row>
    <row r="11" spans="2:10" ht="20.25" customHeight="1">
      <c r="B11" s="14">
        <v>8</v>
      </c>
      <c r="C11" s="15" t="s">
        <v>620</v>
      </c>
      <c r="D11" s="15">
        <v>75</v>
      </c>
      <c r="E11" s="15">
        <v>85.42</v>
      </c>
      <c r="F11" s="15">
        <v>76.47</v>
      </c>
      <c r="G11" s="15">
        <v>70.83</v>
      </c>
      <c r="H11" s="15">
        <v>71.819999999999993</v>
      </c>
    </row>
    <row r="12" spans="2:10" ht="20.25" customHeight="1">
      <c r="B12" s="14">
        <v>9</v>
      </c>
      <c r="C12" s="15" t="s">
        <v>621</v>
      </c>
      <c r="D12" s="15">
        <v>66.66</v>
      </c>
      <c r="E12" s="15">
        <v>68</v>
      </c>
      <c r="F12" s="15">
        <v>72.62</v>
      </c>
      <c r="G12" s="15">
        <v>50</v>
      </c>
      <c r="H12" s="15">
        <v>68.02</v>
      </c>
    </row>
    <row r="13" spans="2:10" ht="20.25" customHeight="1">
      <c r="B13" s="14">
        <v>10</v>
      </c>
      <c r="C13" s="15" t="s">
        <v>622</v>
      </c>
      <c r="D13" s="15">
        <v>45.9</v>
      </c>
      <c r="E13" s="15">
        <v>81.55</v>
      </c>
      <c r="F13" s="15">
        <v>94.68</v>
      </c>
      <c r="G13" s="15">
        <v>81.89</v>
      </c>
      <c r="H13" s="15">
        <v>93.37</v>
      </c>
    </row>
    <row r="14" spans="2:10" ht="20.25" customHeight="1">
      <c r="B14" s="14">
        <v>11</v>
      </c>
      <c r="C14" s="15" t="s">
        <v>623</v>
      </c>
      <c r="D14" s="15">
        <v>42.85</v>
      </c>
      <c r="E14" s="15">
        <v>94.75</v>
      </c>
      <c r="F14" s="15">
        <v>99.77</v>
      </c>
      <c r="G14" s="15">
        <v>79.209999999999994</v>
      </c>
      <c r="H14" s="15">
        <v>91.81</v>
      </c>
    </row>
    <row r="15" spans="2:10" ht="20.25" customHeight="1">
      <c r="B15" s="14">
        <v>12</v>
      </c>
      <c r="C15" s="15" t="s">
        <v>624</v>
      </c>
      <c r="D15" s="15">
        <v>75</v>
      </c>
      <c r="E15" s="15">
        <v>91.66</v>
      </c>
      <c r="F15" s="15">
        <v>81.87</v>
      </c>
      <c r="G15" s="15">
        <v>82.5</v>
      </c>
      <c r="H15" s="15">
        <v>91.88</v>
      </c>
    </row>
    <row r="16" spans="2:10" ht="20.25" customHeight="1">
      <c r="B16" s="14">
        <v>13</v>
      </c>
      <c r="C16" s="15" t="s">
        <v>625</v>
      </c>
      <c r="D16" s="15">
        <v>25</v>
      </c>
      <c r="E16" s="15">
        <v>96.66</v>
      </c>
      <c r="F16" s="15">
        <v>100</v>
      </c>
      <c r="G16" s="15">
        <v>79.150000000000006</v>
      </c>
      <c r="H16" s="15">
        <v>90.66</v>
      </c>
    </row>
    <row r="17" spans="2:10" ht="20.25" customHeight="1">
      <c r="B17" s="14">
        <v>14</v>
      </c>
      <c r="C17" s="15" t="s">
        <v>626</v>
      </c>
      <c r="D17" s="15">
        <v>100</v>
      </c>
      <c r="E17" s="15">
        <v>100</v>
      </c>
      <c r="F17" s="15">
        <v>100</v>
      </c>
      <c r="G17" s="15">
        <v>50</v>
      </c>
      <c r="H17" s="15">
        <v>87.5</v>
      </c>
    </row>
    <row r="18" spans="2:10" ht="20.25" customHeight="1">
      <c r="B18" s="14">
        <v>15</v>
      </c>
      <c r="C18" s="15" t="s">
        <v>627</v>
      </c>
      <c r="D18" s="15">
        <v>34.44</v>
      </c>
      <c r="E18" s="15">
        <v>95</v>
      </c>
      <c r="F18" s="15">
        <v>100</v>
      </c>
      <c r="G18" s="15">
        <v>81.66</v>
      </c>
      <c r="H18" s="15">
        <v>90</v>
      </c>
      <c r="I18" s="7" t="s">
        <v>140</v>
      </c>
      <c r="J18" s="7" t="s">
        <v>140</v>
      </c>
    </row>
    <row r="19" spans="2:10" ht="4.5" customHeight="1"/>
    <row r="20" spans="2:10" ht="18" customHeight="1">
      <c r="B20" s="88" t="s">
        <v>641</v>
      </c>
      <c r="C20" s="88"/>
      <c r="D20" s="88"/>
      <c r="E20" s="88"/>
      <c r="F20" s="88"/>
      <c r="G20" s="88"/>
      <c r="H20" s="15">
        <v>84.14</v>
      </c>
      <c r="I20" s="7" t="s">
        <v>140</v>
      </c>
    </row>
    <row r="21" spans="2:10">
      <c r="H21" s="7" t="s">
        <v>140</v>
      </c>
    </row>
    <row r="37" spans="6:6">
      <c r="F37" s="56"/>
    </row>
  </sheetData>
  <mergeCells count="3">
    <mergeCell ref="B2:C2"/>
    <mergeCell ref="H2:H3"/>
    <mergeCell ref="B20:G2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
  <sheetViews>
    <sheetView zoomScaleNormal="100" workbookViewId="0">
      <pane xSplit="2" ySplit="1" topLeftCell="C5" activePane="bottomRight" state="frozen"/>
      <selection pane="topRight" activeCell="C1" sqref="C1"/>
      <selection pane="bottomLeft" activeCell="A2" sqref="A2"/>
      <selection pane="bottomRight" activeCell="H18" sqref="H18"/>
    </sheetView>
  </sheetViews>
  <sheetFormatPr baseColWidth="10" defaultColWidth="9.140625" defaultRowHeight="15"/>
  <cols>
    <col min="1" max="1" width="24.140625" style="2" customWidth="1"/>
    <col min="2" max="2" width="30.140625" style="2" customWidth="1"/>
    <col min="3" max="10" width="12.140625" style="2" customWidth="1"/>
    <col min="11" max="11" width="11" style="2" customWidth="1"/>
    <col min="12" max="12" width="13.7109375" style="2" customWidth="1"/>
    <col min="13" max="16384" width="9.140625" style="2"/>
  </cols>
  <sheetData>
    <row r="1" spans="1:13" s="3" customFormat="1" ht="30">
      <c r="A1" s="3" t="s">
        <v>566</v>
      </c>
      <c r="B1" s="3" t="s">
        <v>567</v>
      </c>
      <c r="C1" s="3" t="s">
        <v>568</v>
      </c>
      <c r="D1" s="3" t="s">
        <v>569</v>
      </c>
      <c r="E1" s="3" t="s">
        <v>570</v>
      </c>
      <c r="F1" s="3" t="s">
        <v>574</v>
      </c>
      <c r="G1" s="3" t="s">
        <v>575</v>
      </c>
      <c r="H1" s="3" t="s">
        <v>579</v>
      </c>
      <c r="I1" s="3" t="s">
        <v>580</v>
      </c>
      <c r="J1" s="3" t="s">
        <v>584</v>
      </c>
      <c r="K1" s="3" t="s">
        <v>585</v>
      </c>
      <c r="L1" s="3" t="s">
        <v>644</v>
      </c>
      <c r="M1" s="3" t="s">
        <v>649</v>
      </c>
    </row>
    <row r="2" spans="1:13" ht="30">
      <c r="A2" s="2" t="s">
        <v>328</v>
      </c>
      <c r="B2" s="2" t="s">
        <v>329</v>
      </c>
      <c r="C2" s="2">
        <v>1</v>
      </c>
      <c r="D2" s="2" t="s">
        <v>10</v>
      </c>
      <c r="E2" s="60" t="s">
        <v>11</v>
      </c>
      <c r="F2" s="2" t="s">
        <v>10</v>
      </c>
      <c r="G2" s="60" t="s">
        <v>11</v>
      </c>
      <c r="H2" s="2" t="s">
        <v>77</v>
      </c>
      <c r="I2" s="60" t="s">
        <v>11</v>
      </c>
      <c r="J2" s="2" t="s">
        <v>330</v>
      </c>
      <c r="K2" s="60" t="s">
        <v>330</v>
      </c>
      <c r="L2" s="2">
        <v>100</v>
      </c>
      <c r="M2" s="91"/>
    </row>
    <row r="3" spans="1:13" ht="55.5" customHeight="1">
      <c r="A3" s="2" t="s">
        <v>331</v>
      </c>
      <c r="B3" s="2" t="s">
        <v>332</v>
      </c>
      <c r="C3" s="2">
        <v>1</v>
      </c>
      <c r="D3" s="2" t="s">
        <v>10</v>
      </c>
      <c r="E3" s="60" t="s">
        <v>11</v>
      </c>
      <c r="F3" s="2" t="s">
        <v>77</v>
      </c>
      <c r="G3" s="60" t="s">
        <v>77</v>
      </c>
      <c r="H3" s="2" t="s">
        <v>10</v>
      </c>
      <c r="I3" s="60" t="s">
        <v>11</v>
      </c>
      <c r="J3" s="2" t="s">
        <v>330</v>
      </c>
      <c r="K3" s="60" t="s">
        <v>29</v>
      </c>
      <c r="L3" s="2">
        <v>0.2</v>
      </c>
      <c r="M3" s="90"/>
    </row>
    <row r="4" spans="1:13" ht="150" customHeight="1">
      <c r="A4" s="2" t="s">
        <v>88</v>
      </c>
      <c r="B4" s="2" t="s">
        <v>334</v>
      </c>
      <c r="C4" s="2">
        <v>5</v>
      </c>
      <c r="D4" s="2" t="s">
        <v>13</v>
      </c>
      <c r="E4" s="60" t="s">
        <v>11</v>
      </c>
      <c r="F4" s="2" t="s">
        <v>16</v>
      </c>
      <c r="G4" s="60" t="s">
        <v>16</v>
      </c>
      <c r="H4" s="2" t="s">
        <v>13</v>
      </c>
      <c r="I4" s="60" t="s">
        <v>13</v>
      </c>
      <c r="J4" s="2" t="s">
        <v>13</v>
      </c>
      <c r="K4" s="60">
        <v>0</v>
      </c>
      <c r="L4" s="2">
        <v>60</v>
      </c>
      <c r="M4" s="92"/>
    </row>
    <row r="5" spans="1:13" ht="30">
      <c r="A5" s="2" t="s">
        <v>328</v>
      </c>
      <c r="B5" s="2" t="s">
        <v>336</v>
      </c>
      <c r="C5" s="2">
        <v>3000</v>
      </c>
      <c r="D5" s="2" t="s">
        <v>265</v>
      </c>
      <c r="E5" s="60" t="s">
        <v>265</v>
      </c>
      <c r="F5" s="2" t="s">
        <v>337</v>
      </c>
      <c r="G5" s="60" t="s">
        <v>337</v>
      </c>
      <c r="H5" s="2" t="s">
        <v>338</v>
      </c>
      <c r="I5" s="60" t="s">
        <v>338</v>
      </c>
      <c r="J5" s="2" t="s">
        <v>10</v>
      </c>
      <c r="K5" s="60" t="s">
        <v>11</v>
      </c>
      <c r="L5" s="2">
        <v>100</v>
      </c>
      <c r="M5" s="91"/>
    </row>
    <row r="6" spans="1:13" ht="48" customHeight="1">
      <c r="A6" s="2" t="s">
        <v>399</v>
      </c>
      <c r="B6" s="2" t="s">
        <v>400</v>
      </c>
      <c r="C6" s="2">
        <v>1</v>
      </c>
      <c r="D6" s="2" t="s">
        <v>10</v>
      </c>
      <c r="E6" s="60" t="s">
        <v>11</v>
      </c>
      <c r="F6" s="2" t="s">
        <v>10</v>
      </c>
      <c r="G6" s="60" t="s">
        <v>11</v>
      </c>
      <c r="H6" s="2" t="s">
        <v>10</v>
      </c>
      <c r="I6" s="60" t="s">
        <v>11</v>
      </c>
      <c r="J6" s="2" t="s">
        <v>16</v>
      </c>
      <c r="K6" s="60" t="s">
        <v>29</v>
      </c>
      <c r="L6" s="2">
        <v>0</v>
      </c>
      <c r="M6" s="90"/>
    </row>
    <row r="7" spans="1:13" ht="53.25" customHeight="1">
      <c r="A7" s="2" t="s">
        <v>402</v>
      </c>
      <c r="B7" s="2" t="s">
        <v>403</v>
      </c>
      <c r="C7" s="2">
        <v>2</v>
      </c>
      <c r="D7" s="2" t="s">
        <v>24</v>
      </c>
      <c r="E7" s="60" t="s">
        <v>24</v>
      </c>
      <c r="F7" s="2" t="s">
        <v>24</v>
      </c>
      <c r="G7" s="60" t="s">
        <v>7</v>
      </c>
      <c r="H7" s="2" t="s">
        <v>24</v>
      </c>
      <c r="I7" s="60" t="s">
        <v>24</v>
      </c>
      <c r="J7" s="2" t="s">
        <v>16</v>
      </c>
      <c r="K7" s="60">
        <v>0.92</v>
      </c>
      <c r="L7" s="2">
        <v>96</v>
      </c>
      <c r="M7" s="91"/>
    </row>
    <row r="8" spans="1:13" ht="47.25" customHeight="1">
      <c r="A8" s="2" t="s">
        <v>406</v>
      </c>
      <c r="B8" s="2" t="s">
        <v>407</v>
      </c>
      <c r="C8" s="2">
        <v>2500</v>
      </c>
      <c r="D8" s="2" t="s">
        <v>299</v>
      </c>
      <c r="E8" s="60" t="s">
        <v>299</v>
      </c>
      <c r="F8" s="2" t="s">
        <v>337</v>
      </c>
      <c r="G8" s="60" t="s">
        <v>408</v>
      </c>
      <c r="H8" s="2" t="s">
        <v>409</v>
      </c>
      <c r="I8" s="60" t="s">
        <v>410</v>
      </c>
      <c r="J8" s="2" t="s">
        <v>10</v>
      </c>
      <c r="K8" s="60" t="s">
        <v>11</v>
      </c>
      <c r="L8" s="2">
        <v>100</v>
      </c>
      <c r="M8" s="91"/>
    </row>
    <row r="9" spans="1:13" ht="72.75" customHeight="1">
      <c r="A9" s="2" t="s">
        <v>412</v>
      </c>
      <c r="B9" s="2" t="s">
        <v>413</v>
      </c>
      <c r="C9" s="2">
        <v>1</v>
      </c>
      <c r="D9" s="2" t="s">
        <v>10</v>
      </c>
      <c r="E9" s="60" t="s">
        <v>11</v>
      </c>
      <c r="F9" s="2" t="s">
        <v>24</v>
      </c>
      <c r="G9" s="60" t="s">
        <v>414</v>
      </c>
      <c r="H9" s="2" t="s">
        <v>91</v>
      </c>
      <c r="I9" s="60" t="s">
        <v>91</v>
      </c>
      <c r="J9" s="2" t="s">
        <v>91</v>
      </c>
      <c r="K9" s="60">
        <v>0.23</v>
      </c>
      <c r="L9" s="2">
        <v>81</v>
      </c>
      <c r="M9" s="91"/>
    </row>
    <row r="10" spans="1:13" ht="45">
      <c r="A10" s="2" t="s">
        <v>416</v>
      </c>
      <c r="B10" s="2" t="s">
        <v>417</v>
      </c>
      <c r="C10" s="2">
        <v>1</v>
      </c>
      <c r="D10" s="2" t="s">
        <v>16</v>
      </c>
      <c r="E10" s="60" t="s">
        <v>11</v>
      </c>
      <c r="F10" s="2" t="s">
        <v>10</v>
      </c>
      <c r="G10" s="60" t="s">
        <v>11</v>
      </c>
      <c r="H10" s="2" t="s">
        <v>16</v>
      </c>
      <c r="I10" s="60" t="s">
        <v>16</v>
      </c>
      <c r="J10" s="2" t="s">
        <v>10</v>
      </c>
      <c r="K10" s="60" t="s">
        <v>29</v>
      </c>
      <c r="L10" s="2">
        <v>100</v>
      </c>
      <c r="M10" s="91"/>
    </row>
    <row r="11" spans="1:13" ht="51.75" customHeight="1">
      <c r="A11" s="2" t="s">
        <v>419</v>
      </c>
      <c r="B11" s="2" t="s">
        <v>420</v>
      </c>
      <c r="C11" s="2">
        <v>2</v>
      </c>
      <c r="D11" s="2" t="s">
        <v>230</v>
      </c>
      <c r="E11" s="60" t="s">
        <v>230</v>
      </c>
      <c r="F11" s="2" t="s">
        <v>230</v>
      </c>
      <c r="G11" s="60" t="s">
        <v>364</v>
      </c>
      <c r="H11" s="2" t="s">
        <v>421</v>
      </c>
      <c r="I11" s="60" t="s">
        <v>29</v>
      </c>
      <c r="J11" s="2" t="s">
        <v>421</v>
      </c>
      <c r="K11" s="60">
        <v>0.75</v>
      </c>
      <c r="L11" s="2">
        <v>43</v>
      </c>
      <c r="M11" s="90"/>
    </row>
    <row r="12" spans="1:13">
      <c r="L12" s="2">
        <f>SUBTOTAL(109,ReporteAvancePlanIndicativo312[Consolidado 2020 - 2023*])/10</f>
        <v>68.02000000000001</v>
      </c>
    </row>
  </sheetData>
  <phoneticPr fontId="4" type="noConversion"/>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F3608-2DE0-479D-B98B-4D7C569981F5}">
  <dimension ref="A1:W18"/>
  <sheetViews>
    <sheetView topLeftCell="D12" workbookViewId="0">
      <selection activeCell="P19" sqref="P19"/>
    </sheetView>
  </sheetViews>
  <sheetFormatPr baseColWidth="10" defaultColWidth="9.140625" defaultRowHeight="15"/>
  <cols>
    <col min="1" max="2" width="26.7109375" style="1" customWidth="1"/>
    <col min="3" max="3" width="13.7109375" style="1" customWidth="1"/>
    <col min="4" max="4" width="15.5703125" style="1" customWidth="1"/>
    <col min="5" max="5" width="13.42578125" style="1" customWidth="1"/>
    <col min="6" max="6" width="12.28515625" style="1" customWidth="1"/>
    <col min="7" max="7" width="14.28515625" style="1" customWidth="1"/>
    <col min="8" max="8" width="15.5703125" style="1" customWidth="1"/>
    <col min="9" max="9" width="13" style="1" customWidth="1"/>
    <col min="10" max="10" width="12.5703125" style="1" customWidth="1"/>
    <col min="11" max="11" width="13.42578125" style="1" customWidth="1"/>
    <col min="12" max="14" width="15.5703125" style="1" customWidth="1"/>
    <col min="15" max="15" width="11.28515625" style="1" customWidth="1"/>
    <col min="16" max="16" width="12.28515625" style="1" customWidth="1"/>
    <col min="17" max="17" width="14.5703125" style="1" customWidth="1"/>
    <col min="18" max="19" width="15.5703125" style="1" customWidth="1"/>
    <col min="20" max="20" width="12.7109375" style="1" customWidth="1"/>
    <col min="21" max="21" width="12.140625" style="1" customWidth="1"/>
    <col min="22" max="22" width="14" style="1" customWidth="1"/>
    <col min="23" max="23" width="21.85546875" style="1" customWidth="1"/>
    <col min="24" max="24" width="15.5703125" style="1" customWidth="1"/>
    <col min="25" max="16384" width="9.140625" style="1"/>
  </cols>
  <sheetData>
    <row r="1" spans="1:23" s="5" customFormat="1" ht="30">
      <c r="A1" s="5" t="s">
        <v>566</v>
      </c>
      <c r="B1" s="5" t="s">
        <v>567</v>
      </c>
      <c r="C1" s="5" t="s">
        <v>568</v>
      </c>
      <c r="D1" s="5" t="s">
        <v>569</v>
      </c>
      <c r="E1" s="5" t="s">
        <v>570</v>
      </c>
      <c r="F1" s="5" t="s">
        <v>571</v>
      </c>
      <c r="G1" s="5" t="s">
        <v>572</v>
      </c>
      <c r="H1" s="5" t="s">
        <v>573</v>
      </c>
      <c r="I1" s="5" t="s">
        <v>574</v>
      </c>
      <c r="J1" s="5" t="s">
        <v>575</v>
      </c>
      <c r="K1" s="5" t="s">
        <v>576</v>
      </c>
      <c r="L1" s="5" t="s">
        <v>577</v>
      </c>
      <c r="M1" s="5" t="s">
        <v>578</v>
      </c>
      <c r="N1" s="5" t="s">
        <v>579</v>
      </c>
      <c r="O1" s="5" t="s">
        <v>580</v>
      </c>
      <c r="P1" s="5" t="s">
        <v>581</v>
      </c>
      <c r="Q1" s="5" t="s">
        <v>582</v>
      </c>
      <c r="R1" s="5" t="s">
        <v>583</v>
      </c>
      <c r="S1" s="5" t="s">
        <v>584</v>
      </c>
      <c r="T1" s="5" t="s">
        <v>585</v>
      </c>
      <c r="U1" s="5" t="s">
        <v>586</v>
      </c>
      <c r="V1" s="5" t="s">
        <v>587</v>
      </c>
      <c r="W1" s="5" t="s">
        <v>588</v>
      </c>
    </row>
    <row r="2" spans="1:23" ht="105">
      <c r="A2" s="1" t="s">
        <v>521</v>
      </c>
      <c r="B2" s="1" t="s">
        <v>522</v>
      </c>
      <c r="C2" s="1">
        <v>1</v>
      </c>
      <c r="D2" s="1" t="s">
        <v>10</v>
      </c>
      <c r="E2" s="1" t="s">
        <v>11</v>
      </c>
      <c r="F2" s="1">
        <v>0</v>
      </c>
      <c r="I2" s="1" t="s">
        <v>91</v>
      </c>
      <c r="J2" s="1" t="s">
        <v>91</v>
      </c>
      <c r="K2" s="1">
        <v>100</v>
      </c>
      <c r="L2" s="1" t="s">
        <v>5</v>
      </c>
      <c r="N2" s="1" t="s">
        <v>24</v>
      </c>
      <c r="O2" s="1" t="s">
        <v>91</v>
      </c>
      <c r="P2" s="1">
        <v>50</v>
      </c>
      <c r="Q2" s="1" t="s">
        <v>18</v>
      </c>
      <c r="S2" s="1" t="s">
        <v>91</v>
      </c>
      <c r="T2" s="1" t="s">
        <v>11</v>
      </c>
      <c r="U2" s="1">
        <v>0</v>
      </c>
      <c r="V2" s="1" t="s">
        <v>14</v>
      </c>
    </row>
    <row r="3" spans="1:23" ht="45">
      <c r="A3" s="1" t="s">
        <v>523</v>
      </c>
      <c r="B3" s="1" t="s">
        <v>524</v>
      </c>
      <c r="C3" s="1">
        <v>8</v>
      </c>
      <c r="D3" s="1" t="s">
        <v>16</v>
      </c>
      <c r="E3" s="1" t="s">
        <v>16</v>
      </c>
      <c r="F3" s="1">
        <v>100</v>
      </c>
      <c r="G3" s="1" t="s">
        <v>5</v>
      </c>
      <c r="I3" s="1" t="s">
        <v>84</v>
      </c>
      <c r="J3" s="1" t="s">
        <v>84</v>
      </c>
      <c r="K3" s="1">
        <v>100</v>
      </c>
      <c r="L3" s="1" t="s">
        <v>5</v>
      </c>
      <c r="N3" s="1" t="s">
        <v>13</v>
      </c>
      <c r="O3" s="1" t="s">
        <v>13</v>
      </c>
      <c r="P3" s="1">
        <v>100</v>
      </c>
      <c r="Q3" s="1" t="s">
        <v>5</v>
      </c>
      <c r="S3" s="1" t="s">
        <v>13</v>
      </c>
      <c r="T3" s="1">
        <v>2</v>
      </c>
      <c r="U3" s="1">
        <v>100</v>
      </c>
      <c r="V3" s="1" t="s">
        <v>5</v>
      </c>
      <c r="W3" s="1" t="s">
        <v>140</v>
      </c>
    </row>
    <row r="4" spans="1:23" ht="116.25" customHeight="1">
      <c r="A4" s="1" t="s">
        <v>525</v>
      </c>
      <c r="B4" s="1" t="s">
        <v>526</v>
      </c>
      <c r="C4" s="1">
        <v>1</v>
      </c>
      <c r="D4" s="1" t="s">
        <v>230</v>
      </c>
      <c r="E4" s="1" t="s">
        <v>230</v>
      </c>
      <c r="F4" s="1">
        <v>100</v>
      </c>
      <c r="G4" s="1" t="s">
        <v>5</v>
      </c>
      <c r="I4" s="1" t="s">
        <v>221</v>
      </c>
      <c r="J4" s="1" t="s">
        <v>221</v>
      </c>
      <c r="K4" s="1">
        <v>100</v>
      </c>
      <c r="L4" s="1" t="s">
        <v>5</v>
      </c>
      <c r="N4" s="1" t="s">
        <v>221</v>
      </c>
      <c r="O4" s="1" t="s">
        <v>221</v>
      </c>
      <c r="P4" s="1">
        <v>100</v>
      </c>
      <c r="Q4" s="1" t="s">
        <v>5</v>
      </c>
      <c r="S4" s="1" t="s">
        <v>221</v>
      </c>
      <c r="T4" s="1">
        <v>0.3</v>
      </c>
      <c r="U4" s="1">
        <v>100</v>
      </c>
      <c r="V4" s="1" t="s">
        <v>5</v>
      </c>
      <c r="W4" s="1" t="s">
        <v>527</v>
      </c>
    </row>
    <row r="5" spans="1:23" ht="30">
      <c r="A5" s="1" t="s">
        <v>528</v>
      </c>
      <c r="B5" s="1" t="s">
        <v>529</v>
      </c>
      <c r="C5" s="1">
        <v>1</v>
      </c>
      <c r="D5" s="1" t="s">
        <v>10</v>
      </c>
      <c r="E5" s="1" t="s">
        <v>11</v>
      </c>
      <c r="F5" s="1">
        <v>0</v>
      </c>
      <c r="I5" s="1" t="s">
        <v>77</v>
      </c>
      <c r="J5" s="1" t="s">
        <v>77</v>
      </c>
      <c r="K5" s="1">
        <v>100</v>
      </c>
      <c r="L5" s="1" t="s">
        <v>5</v>
      </c>
      <c r="N5" s="1" t="s">
        <v>78</v>
      </c>
      <c r="O5" s="1" t="s">
        <v>78</v>
      </c>
      <c r="P5" s="1">
        <v>100</v>
      </c>
      <c r="Q5" s="1" t="s">
        <v>5</v>
      </c>
      <c r="S5" s="1" t="s">
        <v>78</v>
      </c>
      <c r="T5" s="1" t="s">
        <v>530</v>
      </c>
      <c r="U5" s="1">
        <v>87.5</v>
      </c>
      <c r="V5" s="1" t="s">
        <v>5</v>
      </c>
      <c r="W5" s="1" t="s">
        <v>140</v>
      </c>
    </row>
    <row r="6" spans="1:23" ht="30">
      <c r="A6" s="1" t="s">
        <v>531</v>
      </c>
      <c r="B6" s="1" t="s">
        <v>532</v>
      </c>
      <c r="C6" s="1">
        <v>100</v>
      </c>
      <c r="D6" s="1" t="s">
        <v>56</v>
      </c>
      <c r="E6" s="1" t="s">
        <v>24</v>
      </c>
      <c r="F6" s="1">
        <v>5</v>
      </c>
      <c r="G6" s="1" t="s">
        <v>14</v>
      </c>
      <c r="I6" s="1" t="s">
        <v>222</v>
      </c>
      <c r="J6" s="1" t="s">
        <v>222</v>
      </c>
      <c r="K6" s="1">
        <v>100</v>
      </c>
      <c r="L6" s="1" t="s">
        <v>5</v>
      </c>
      <c r="N6" s="1" t="s">
        <v>222</v>
      </c>
      <c r="O6" s="1" t="s">
        <v>222</v>
      </c>
      <c r="P6" s="1">
        <v>100</v>
      </c>
      <c r="Q6" s="1" t="s">
        <v>5</v>
      </c>
      <c r="S6" s="1" t="s">
        <v>471</v>
      </c>
      <c r="T6" s="1">
        <v>35</v>
      </c>
      <c r="U6" s="1">
        <v>100</v>
      </c>
      <c r="V6" s="1" t="s">
        <v>5</v>
      </c>
      <c r="W6" s="1" t="s">
        <v>140</v>
      </c>
    </row>
    <row r="7" spans="1:23" ht="30">
      <c r="A7" s="1" t="s">
        <v>533</v>
      </c>
      <c r="B7" s="1" t="s">
        <v>534</v>
      </c>
      <c r="C7" s="1">
        <v>12000</v>
      </c>
      <c r="D7" s="1" t="s">
        <v>338</v>
      </c>
      <c r="E7" s="1" t="s">
        <v>11</v>
      </c>
      <c r="F7" s="1">
        <v>0</v>
      </c>
      <c r="G7" s="1" t="s">
        <v>14</v>
      </c>
      <c r="I7" s="1" t="s">
        <v>3</v>
      </c>
      <c r="J7" s="1" t="s">
        <v>535</v>
      </c>
      <c r="K7" s="1">
        <v>68.28</v>
      </c>
      <c r="L7" s="1" t="s">
        <v>59</v>
      </c>
      <c r="N7" s="1" t="s">
        <v>3</v>
      </c>
      <c r="O7" s="1" t="s">
        <v>3</v>
      </c>
      <c r="P7" s="1">
        <v>100</v>
      </c>
      <c r="Q7" s="1" t="s">
        <v>5</v>
      </c>
      <c r="S7" s="1" t="s">
        <v>536</v>
      </c>
      <c r="T7" s="1" t="s">
        <v>536</v>
      </c>
      <c r="U7" s="1">
        <v>100</v>
      </c>
      <c r="V7" s="1" t="s">
        <v>5</v>
      </c>
    </row>
    <row r="8" spans="1:23" ht="83.25" customHeight="1">
      <c r="A8" s="1" t="s">
        <v>537</v>
      </c>
      <c r="B8" s="1" t="s">
        <v>538</v>
      </c>
      <c r="C8" s="1">
        <v>60</v>
      </c>
      <c r="D8" s="1" t="s">
        <v>10</v>
      </c>
      <c r="E8" s="1" t="s">
        <v>11</v>
      </c>
      <c r="F8" s="1">
        <v>0</v>
      </c>
      <c r="I8" s="1" t="s">
        <v>92</v>
      </c>
      <c r="J8" s="1" t="s">
        <v>92</v>
      </c>
      <c r="K8" s="1">
        <v>100</v>
      </c>
      <c r="L8" s="1" t="s">
        <v>5</v>
      </c>
      <c r="N8" s="1" t="s">
        <v>92</v>
      </c>
      <c r="O8" s="1" t="s">
        <v>178</v>
      </c>
      <c r="P8" s="1">
        <v>80</v>
      </c>
      <c r="Q8" s="1" t="s">
        <v>108</v>
      </c>
      <c r="R8" s="1" t="s">
        <v>539</v>
      </c>
      <c r="S8" s="1" t="s">
        <v>477</v>
      </c>
      <c r="T8" s="1">
        <v>25</v>
      </c>
      <c r="U8" s="1">
        <v>100</v>
      </c>
      <c r="V8" s="1" t="s">
        <v>5</v>
      </c>
      <c r="W8" s="1" t="s">
        <v>540</v>
      </c>
    </row>
    <row r="9" spans="1:23" ht="45">
      <c r="A9" s="1" t="s">
        <v>541</v>
      </c>
      <c r="B9" s="1" t="s">
        <v>542</v>
      </c>
      <c r="C9" s="1">
        <v>100</v>
      </c>
      <c r="D9" s="1" t="s">
        <v>10</v>
      </c>
      <c r="E9" s="1" t="s">
        <v>11</v>
      </c>
      <c r="F9" s="1">
        <v>0</v>
      </c>
      <c r="I9" s="1" t="s">
        <v>42</v>
      </c>
      <c r="J9" s="1" t="s">
        <v>42</v>
      </c>
      <c r="K9" s="1">
        <v>100</v>
      </c>
      <c r="L9" s="1" t="s">
        <v>5</v>
      </c>
      <c r="N9" s="1" t="s">
        <v>42</v>
      </c>
      <c r="O9" s="1" t="s">
        <v>543</v>
      </c>
      <c r="P9" s="1">
        <v>85</v>
      </c>
      <c r="Q9" s="1" t="s">
        <v>5</v>
      </c>
      <c r="S9" s="1" t="s">
        <v>104</v>
      </c>
      <c r="T9" s="1">
        <v>33</v>
      </c>
      <c r="U9" s="1">
        <v>100</v>
      </c>
      <c r="V9" s="1" t="s">
        <v>5</v>
      </c>
      <c r="W9" s="1" t="s">
        <v>140</v>
      </c>
    </row>
    <row r="10" spans="1:23" ht="136.5" customHeight="1">
      <c r="A10" s="1" t="s">
        <v>544</v>
      </c>
      <c r="B10" s="1" t="s">
        <v>545</v>
      </c>
      <c r="C10" s="1">
        <v>8</v>
      </c>
      <c r="D10" s="1" t="s">
        <v>13</v>
      </c>
      <c r="E10" s="1" t="s">
        <v>13</v>
      </c>
      <c r="F10" s="1">
        <v>100</v>
      </c>
      <c r="G10" s="1" t="s">
        <v>5</v>
      </c>
      <c r="I10" s="1" t="s">
        <v>13</v>
      </c>
      <c r="J10" s="1" t="s">
        <v>16</v>
      </c>
      <c r="K10" s="1">
        <v>50</v>
      </c>
      <c r="L10" s="1" t="s">
        <v>18</v>
      </c>
      <c r="N10" s="1" t="s">
        <v>13</v>
      </c>
      <c r="O10" s="1" t="s">
        <v>13</v>
      </c>
      <c r="P10" s="1">
        <v>100</v>
      </c>
      <c r="Q10" s="1" t="s">
        <v>5</v>
      </c>
      <c r="S10" s="1" t="s">
        <v>84</v>
      </c>
      <c r="T10" s="1" t="s">
        <v>13</v>
      </c>
      <c r="U10" s="1">
        <v>66.67</v>
      </c>
      <c r="V10" s="1" t="s">
        <v>59</v>
      </c>
      <c r="W10" s="1" t="s">
        <v>546</v>
      </c>
    </row>
    <row r="11" spans="1:23" ht="90">
      <c r="A11" s="1" t="s">
        <v>547</v>
      </c>
      <c r="B11" s="1" t="s">
        <v>548</v>
      </c>
      <c r="C11" s="1">
        <v>1</v>
      </c>
      <c r="D11" s="1" t="s">
        <v>91</v>
      </c>
      <c r="E11" s="1" t="s">
        <v>11</v>
      </c>
      <c r="F11" s="1">
        <v>0</v>
      </c>
      <c r="G11" s="1" t="s">
        <v>14</v>
      </c>
      <c r="I11" s="1" t="s">
        <v>77</v>
      </c>
      <c r="J11" s="1" t="s">
        <v>77</v>
      </c>
      <c r="K11" s="1">
        <v>100</v>
      </c>
      <c r="L11" s="1" t="s">
        <v>5</v>
      </c>
      <c r="N11" s="1" t="s">
        <v>221</v>
      </c>
      <c r="O11" s="1" t="s">
        <v>221</v>
      </c>
      <c r="P11" s="1">
        <v>100</v>
      </c>
      <c r="Q11" s="1" t="s">
        <v>5</v>
      </c>
      <c r="S11" s="1" t="s">
        <v>24</v>
      </c>
      <c r="T11" s="1">
        <v>0.45</v>
      </c>
      <c r="U11" s="1">
        <v>90</v>
      </c>
      <c r="V11" s="1" t="s">
        <v>5</v>
      </c>
    </row>
    <row r="12" spans="1:23" ht="60">
      <c r="A12" s="1" t="s">
        <v>549</v>
      </c>
      <c r="B12" s="1" t="s">
        <v>550</v>
      </c>
      <c r="C12" s="1">
        <v>1</v>
      </c>
      <c r="D12" s="1" t="s">
        <v>230</v>
      </c>
      <c r="E12" s="1" t="s">
        <v>11</v>
      </c>
      <c r="F12" s="1">
        <v>0</v>
      </c>
      <c r="G12" s="1" t="s">
        <v>14</v>
      </c>
      <c r="I12" s="1" t="s">
        <v>221</v>
      </c>
      <c r="J12" s="1" t="s">
        <v>230</v>
      </c>
      <c r="K12" s="1">
        <v>33.33</v>
      </c>
      <c r="L12" s="1" t="s">
        <v>14</v>
      </c>
      <c r="N12" s="1" t="s">
        <v>221</v>
      </c>
      <c r="O12" s="1" t="s">
        <v>221</v>
      </c>
      <c r="P12" s="1">
        <v>100</v>
      </c>
      <c r="Q12" s="1" t="s">
        <v>5</v>
      </c>
      <c r="S12" s="1" t="s">
        <v>340</v>
      </c>
      <c r="T12" s="1" t="s">
        <v>24</v>
      </c>
      <c r="U12" s="1">
        <v>83.33</v>
      </c>
      <c r="V12" s="1" t="s">
        <v>5</v>
      </c>
    </row>
    <row r="13" spans="1:23" ht="111" customHeight="1">
      <c r="A13" s="1" t="s">
        <v>551</v>
      </c>
      <c r="B13" s="1" t="s">
        <v>552</v>
      </c>
      <c r="C13" s="1">
        <v>3</v>
      </c>
      <c r="D13" s="1" t="s">
        <v>24</v>
      </c>
      <c r="E13" s="1" t="s">
        <v>11</v>
      </c>
      <c r="F13" s="1">
        <v>0</v>
      </c>
      <c r="G13" s="1" t="s">
        <v>14</v>
      </c>
      <c r="I13" s="1" t="s">
        <v>16</v>
      </c>
      <c r="J13" s="1" t="s">
        <v>24</v>
      </c>
      <c r="K13" s="1">
        <v>50</v>
      </c>
      <c r="L13" s="1" t="s">
        <v>18</v>
      </c>
      <c r="N13" s="1" t="s">
        <v>16</v>
      </c>
      <c r="O13" s="1" t="s">
        <v>16</v>
      </c>
      <c r="P13" s="1">
        <v>100</v>
      </c>
      <c r="Q13" s="1" t="s">
        <v>5</v>
      </c>
      <c r="S13" s="1" t="s">
        <v>225</v>
      </c>
      <c r="T13" s="1">
        <v>1.2</v>
      </c>
      <c r="U13" s="1">
        <v>80</v>
      </c>
      <c r="V13" s="1" t="s">
        <v>108</v>
      </c>
      <c r="W13" s="1" t="s">
        <v>553</v>
      </c>
    </row>
    <row r="14" spans="1:23" ht="75">
      <c r="A14" s="1" t="s">
        <v>554</v>
      </c>
      <c r="B14" s="1" t="s">
        <v>555</v>
      </c>
      <c r="C14" s="1">
        <v>1000</v>
      </c>
      <c r="D14" s="1" t="s">
        <v>556</v>
      </c>
      <c r="E14" s="1" t="s">
        <v>556</v>
      </c>
      <c r="F14" s="1">
        <v>100</v>
      </c>
      <c r="G14" s="1" t="s">
        <v>5</v>
      </c>
      <c r="I14" s="1" t="s">
        <v>265</v>
      </c>
      <c r="J14" s="1" t="s">
        <v>265</v>
      </c>
      <c r="K14" s="1">
        <v>100</v>
      </c>
      <c r="L14" s="1" t="s">
        <v>5</v>
      </c>
      <c r="N14" s="1" t="s">
        <v>265</v>
      </c>
      <c r="O14" s="1" t="s">
        <v>557</v>
      </c>
      <c r="P14" s="1">
        <v>100</v>
      </c>
      <c r="Q14" s="1" t="s">
        <v>5</v>
      </c>
      <c r="S14" s="1" t="s">
        <v>558</v>
      </c>
      <c r="T14" s="1">
        <v>268</v>
      </c>
      <c r="U14" s="1">
        <v>100</v>
      </c>
      <c r="V14" s="1" t="s">
        <v>5</v>
      </c>
    </row>
    <row r="15" spans="1:23" ht="90">
      <c r="A15" s="1" t="s">
        <v>559</v>
      </c>
      <c r="B15" s="1" t="s">
        <v>560</v>
      </c>
      <c r="C15" s="1">
        <v>10</v>
      </c>
      <c r="D15" s="1" t="s">
        <v>13</v>
      </c>
      <c r="E15" s="1" t="s">
        <v>13</v>
      </c>
      <c r="F15" s="1">
        <v>100</v>
      </c>
      <c r="G15" s="1" t="s">
        <v>5</v>
      </c>
      <c r="I15" s="1" t="s">
        <v>84</v>
      </c>
      <c r="J15" s="1" t="s">
        <v>84</v>
      </c>
      <c r="K15" s="1">
        <v>100</v>
      </c>
      <c r="L15" s="1" t="s">
        <v>5</v>
      </c>
      <c r="N15" s="1" t="s">
        <v>84</v>
      </c>
      <c r="O15" s="1" t="s">
        <v>84</v>
      </c>
      <c r="P15" s="1">
        <v>100</v>
      </c>
      <c r="Q15" s="1" t="s">
        <v>5</v>
      </c>
      <c r="S15" s="1" t="s">
        <v>13</v>
      </c>
      <c r="T15" s="1">
        <v>3</v>
      </c>
      <c r="U15" s="1">
        <v>100</v>
      </c>
      <c r="V15" s="1" t="s">
        <v>108</v>
      </c>
    </row>
    <row r="16" spans="1:23" ht="60">
      <c r="A16" s="1" t="s">
        <v>561</v>
      </c>
      <c r="B16" s="1" t="s">
        <v>562</v>
      </c>
      <c r="C16" s="1">
        <v>10</v>
      </c>
      <c r="D16" s="1" t="s">
        <v>10</v>
      </c>
      <c r="E16" s="1" t="s">
        <v>11</v>
      </c>
      <c r="F16" s="1">
        <v>0</v>
      </c>
      <c r="I16" s="1" t="s">
        <v>84</v>
      </c>
      <c r="J16" s="1" t="s">
        <v>84</v>
      </c>
      <c r="K16" s="1">
        <v>100</v>
      </c>
      <c r="L16" s="1" t="s">
        <v>5</v>
      </c>
      <c r="N16" s="1" t="s">
        <v>212</v>
      </c>
      <c r="O16" s="1" t="s">
        <v>212</v>
      </c>
      <c r="P16" s="1">
        <v>100</v>
      </c>
      <c r="Q16" s="1" t="s">
        <v>5</v>
      </c>
      <c r="S16" s="1" t="s">
        <v>84</v>
      </c>
      <c r="T16" s="1">
        <v>4</v>
      </c>
      <c r="U16" s="1">
        <v>100</v>
      </c>
      <c r="V16" s="1" t="s">
        <v>5</v>
      </c>
    </row>
    <row r="17" spans="1:22" ht="60">
      <c r="A17" s="1" t="s">
        <v>563</v>
      </c>
      <c r="B17" s="1" t="s">
        <v>564</v>
      </c>
      <c r="C17" s="1">
        <v>1</v>
      </c>
      <c r="D17" s="1" t="s">
        <v>221</v>
      </c>
      <c r="E17" s="1" t="s">
        <v>11</v>
      </c>
      <c r="F17" s="1">
        <v>0</v>
      </c>
      <c r="G17" s="1" t="s">
        <v>14</v>
      </c>
      <c r="I17" s="1" t="s">
        <v>221</v>
      </c>
      <c r="J17" s="1" t="s">
        <v>364</v>
      </c>
      <c r="K17" s="1">
        <v>3.33</v>
      </c>
      <c r="L17" s="1" t="s">
        <v>14</v>
      </c>
      <c r="N17" s="1" t="s">
        <v>78</v>
      </c>
      <c r="O17" s="1" t="s">
        <v>78</v>
      </c>
      <c r="P17" s="1">
        <v>100</v>
      </c>
      <c r="Q17" s="1" t="s">
        <v>5</v>
      </c>
      <c r="S17" s="1" t="s">
        <v>565</v>
      </c>
      <c r="T17" s="1" t="s">
        <v>24</v>
      </c>
      <c r="U17" s="1">
        <v>84.75</v>
      </c>
      <c r="V17" s="1" t="s">
        <v>5</v>
      </c>
    </row>
    <row r="18" spans="1:22">
      <c r="F18" s="1">
        <f>SUBTOTAL(109,ReporteAvancePlanIndicativo31326[% Avance 2020])/11</f>
        <v>45.909090909090907</v>
      </c>
      <c r="K18" s="1">
        <f>SUBTOTAL(109,ReporteAvancePlanIndicativo31326[% Avance 2021])/16</f>
        <v>81.558750000000003</v>
      </c>
      <c r="P18" s="1">
        <f>SUBTOTAL(109,ReporteAvancePlanIndicativo31326[% Avance 2022])/16</f>
        <v>94.6875</v>
      </c>
      <c r="U18" s="1">
        <f>SUBTOTAL(109,ReporteAvancePlanIndicativo31326[% Avance 2023])/17</f>
        <v>81.897058823529406</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8"/>
  <sheetViews>
    <sheetView topLeftCell="A12" workbookViewId="0">
      <selection activeCell="H21" sqref="H21"/>
    </sheetView>
  </sheetViews>
  <sheetFormatPr baseColWidth="10" defaultColWidth="9.140625" defaultRowHeight="15"/>
  <cols>
    <col min="1" max="2" width="26.7109375" style="1" customWidth="1"/>
    <col min="3" max="3" width="13.7109375" style="1" customWidth="1"/>
    <col min="4" max="4" width="15.5703125" style="1" customWidth="1"/>
    <col min="5" max="5" width="13.42578125" style="1" customWidth="1"/>
    <col min="6" max="6" width="13" style="1" customWidth="1"/>
    <col min="7" max="7" width="12.5703125" style="1" customWidth="1"/>
    <col min="8" max="8" width="15.5703125" style="1" customWidth="1"/>
    <col min="9" max="9" width="11.28515625" style="1" customWidth="1"/>
    <col min="10" max="10" width="15.5703125" style="1" customWidth="1"/>
    <col min="11" max="11" width="12.7109375" style="1" customWidth="1"/>
    <col min="12" max="12" width="15.140625" style="1" customWidth="1"/>
    <col min="13" max="16384" width="9.140625" style="1"/>
  </cols>
  <sheetData>
    <row r="1" spans="1:13" s="5" customFormat="1" ht="30">
      <c r="A1" s="5" t="s">
        <v>566</v>
      </c>
      <c r="B1" s="5" t="s">
        <v>567</v>
      </c>
      <c r="C1" s="5" t="s">
        <v>568</v>
      </c>
      <c r="D1" s="5" t="s">
        <v>569</v>
      </c>
      <c r="E1" s="5" t="s">
        <v>570</v>
      </c>
      <c r="F1" s="5" t="s">
        <v>574</v>
      </c>
      <c r="G1" s="5" t="s">
        <v>575</v>
      </c>
      <c r="H1" s="5" t="s">
        <v>579</v>
      </c>
      <c r="I1" s="5" t="s">
        <v>580</v>
      </c>
      <c r="J1" s="5" t="s">
        <v>584</v>
      </c>
      <c r="K1" s="5" t="s">
        <v>585</v>
      </c>
      <c r="L1" s="5" t="s">
        <v>644</v>
      </c>
      <c r="M1" s="5" t="s">
        <v>649</v>
      </c>
    </row>
    <row r="2" spans="1:13" ht="105">
      <c r="A2" s="1" t="s">
        <v>521</v>
      </c>
      <c r="B2" s="1" t="s">
        <v>522</v>
      </c>
      <c r="C2" s="1">
        <v>1</v>
      </c>
      <c r="D2" s="1" t="s">
        <v>10</v>
      </c>
      <c r="E2" s="62" t="s">
        <v>11</v>
      </c>
      <c r="F2" s="1" t="s">
        <v>91</v>
      </c>
      <c r="G2" s="62" t="s">
        <v>91</v>
      </c>
      <c r="H2" s="1" t="s">
        <v>24</v>
      </c>
      <c r="I2" s="62" t="s">
        <v>91</v>
      </c>
      <c r="J2" s="1" t="s">
        <v>91</v>
      </c>
      <c r="K2" s="62" t="s">
        <v>11</v>
      </c>
      <c r="L2" s="1">
        <v>50</v>
      </c>
      <c r="M2" s="94"/>
    </row>
    <row r="3" spans="1:13" ht="45">
      <c r="A3" s="1" t="s">
        <v>523</v>
      </c>
      <c r="B3" s="1" t="s">
        <v>524</v>
      </c>
      <c r="C3" s="1">
        <v>8</v>
      </c>
      <c r="D3" s="1" t="s">
        <v>16</v>
      </c>
      <c r="E3" s="62" t="s">
        <v>16</v>
      </c>
      <c r="F3" s="1" t="s">
        <v>84</v>
      </c>
      <c r="G3" s="62" t="s">
        <v>84</v>
      </c>
      <c r="H3" s="1" t="s">
        <v>13</v>
      </c>
      <c r="I3" s="62" t="s">
        <v>13</v>
      </c>
      <c r="J3" s="1" t="s">
        <v>13</v>
      </c>
      <c r="K3" s="62">
        <v>2</v>
      </c>
      <c r="L3" s="1">
        <v>100</v>
      </c>
      <c r="M3" s="93"/>
    </row>
    <row r="4" spans="1:13" ht="78.75" customHeight="1">
      <c r="A4" s="1" t="s">
        <v>525</v>
      </c>
      <c r="B4" s="1" t="s">
        <v>526</v>
      </c>
      <c r="C4" s="1">
        <v>1</v>
      </c>
      <c r="D4" s="1" t="s">
        <v>230</v>
      </c>
      <c r="E4" s="62" t="s">
        <v>230</v>
      </c>
      <c r="F4" s="1" t="s">
        <v>221</v>
      </c>
      <c r="G4" s="62" t="s">
        <v>221</v>
      </c>
      <c r="H4" s="1" t="s">
        <v>221</v>
      </c>
      <c r="I4" s="62" t="s">
        <v>221</v>
      </c>
      <c r="J4" s="1" t="s">
        <v>221</v>
      </c>
      <c r="K4" s="62">
        <v>0.3</v>
      </c>
      <c r="L4" s="1">
        <v>100</v>
      </c>
      <c r="M4" s="93"/>
    </row>
    <row r="5" spans="1:13" ht="30">
      <c r="A5" s="1" t="s">
        <v>528</v>
      </c>
      <c r="B5" s="1" t="s">
        <v>529</v>
      </c>
      <c r="C5" s="1">
        <v>1</v>
      </c>
      <c r="D5" s="1" t="s">
        <v>10</v>
      </c>
      <c r="E5" s="62" t="s">
        <v>11</v>
      </c>
      <c r="F5" s="1" t="s">
        <v>77</v>
      </c>
      <c r="G5" s="62" t="s">
        <v>77</v>
      </c>
      <c r="H5" s="1" t="s">
        <v>78</v>
      </c>
      <c r="I5" s="62" t="s">
        <v>78</v>
      </c>
      <c r="J5" s="1" t="s">
        <v>78</v>
      </c>
      <c r="K5" s="62" t="s">
        <v>530</v>
      </c>
      <c r="L5" s="1">
        <v>95</v>
      </c>
      <c r="M5" s="93"/>
    </row>
    <row r="6" spans="1:13" ht="30">
      <c r="A6" s="1" t="s">
        <v>531</v>
      </c>
      <c r="B6" s="1" t="s">
        <v>532</v>
      </c>
      <c r="C6" s="1">
        <v>100</v>
      </c>
      <c r="D6" s="1" t="s">
        <v>56</v>
      </c>
      <c r="E6" s="62" t="s">
        <v>24</v>
      </c>
      <c r="F6" s="1" t="s">
        <v>222</v>
      </c>
      <c r="G6" s="62" t="s">
        <v>222</v>
      </c>
      <c r="H6" s="1" t="s">
        <v>222</v>
      </c>
      <c r="I6" s="62" t="s">
        <v>222</v>
      </c>
      <c r="J6" s="1" t="s">
        <v>471</v>
      </c>
      <c r="K6" s="62">
        <v>35</v>
      </c>
      <c r="L6" s="1">
        <v>95.5</v>
      </c>
      <c r="M6" s="93"/>
    </row>
    <row r="7" spans="1:13" ht="30">
      <c r="A7" s="1" t="s">
        <v>533</v>
      </c>
      <c r="B7" s="1" t="s">
        <v>534</v>
      </c>
      <c r="C7" s="1">
        <v>12000</v>
      </c>
      <c r="D7" s="1" t="s">
        <v>338</v>
      </c>
      <c r="E7" s="62" t="s">
        <v>11</v>
      </c>
      <c r="F7" s="1" t="s">
        <v>3</v>
      </c>
      <c r="G7" s="62" t="s">
        <v>535</v>
      </c>
      <c r="H7" s="1" t="s">
        <v>3</v>
      </c>
      <c r="I7" s="62" t="s">
        <v>3</v>
      </c>
      <c r="J7" s="1" t="s">
        <v>536</v>
      </c>
      <c r="K7" s="62" t="s">
        <v>536</v>
      </c>
      <c r="L7" s="1">
        <v>100</v>
      </c>
      <c r="M7" s="93"/>
    </row>
    <row r="8" spans="1:13" ht="35.25" customHeight="1">
      <c r="A8" s="1" t="s">
        <v>537</v>
      </c>
      <c r="B8" s="1" t="s">
        <v>538</v>
      </c>
      <c r="C8" s="1">
        <v>60</v>
      </c>
      <c r="D8" s="1" t="s">
        <v>10</v>
      </c>
      <c r="E8" s="62" t="s">
        <v>11</v>
      </c>
      <c r="F8" s="1" t="s">
        <v>92</v>
      </c>
      <c r="G8" s="62" t="s">
        <v>92</v>
      </c>
      <c r="H8" s="1" t="s">
        <v>92</v>
      </c>
      <c r="I8" s="62" t="s">
        <v>178</v>
      </c>
      <c r="J8" s="1" t="s">
        <v>477</v>
      </c>
      <c r="K8" s="62">
        <v>25</v>
      </c>
      <c r="L8" s="1">
        <v>100</v>
      </c>
      <c r="M8" s="93"/>
    </row>
    <row r="9" spans="1:13" ht="45">
      <c r="A9" s="1" t="s">
        <v>541</v>
      </c>
      <c r="B9" s="1" t="s">
        <v>542</v>
      </c>
      <c r="C9" s="1">
        <v>100</v>
      </c>
      <c r="D9" s="1" t="s">
        <v>10</v>
      </c>
      <c r="E9" s="62" t="s">
        <v>11</v>
      </c>
      <c r="F9" s="1" t="s">
        <v>42</v>
      </c>
      <c r="G9" s="62" t="s">
        <v>42</v>
      </c>
      <c r="H9" s="1" t="s">
        <v>42</v>
      </c>
      <c r="I9" s="62" t="s">
        <v>543</v>
      </c>
      <c r="J9" s="1" t="s">
        <v>104</v>
      </c>
      <c r="K9" s="62">
        <v>33</v>
      </c>
      <c r="L9" s="1">
        <v>100</v>
      </c>
      <c r="M9" s="93"/>
    </row>
    <row r="10" spans="1:13" ht="74.25" customHeight="1">
      <c r="A10" s="1" t="s">
        <v>544</v>
      </c>
      <c r="B10" s="1" t="s">
        <v>545</v>
      </c>
      <c r="C10" s="1">
        <v>8</v>
      </c>
      <c r="D10" s="1" t="s">
        <v>13</v>
      </c>
      <c r="E10" s="62" t="s">
        <v>13</v>
      </c>
      <c r="F10" s="1" t="s">
        <v>13</v>
      </c>
      <c r="G10" s="62" t="s">
        <v>16</v>
      </c>
      <c r="H10" s="1" t="s">
        <v>13</v>
      </c>
      <c r="I10" s="62" t="s">
        <v>13</v>
      </c>
      <c r="J10" s="1" t="s">
        <v>84</v>
      </c>
      <c r="K10" s="62" t="s">
        <v>13</v>
      </c>
      <c r="L10" s="1">
        <v>87.5</v>
      </c>
      <c r="M10" s="93"/>
    </row>
    <row r="11" spans="1:13" ht="87" customHeight="1">
      <c r="A11" s="1" t="s">
        <v>547</v>
      </c>
      <c r="B11" s="1" t="s">
        <v>548</v>
      </c>
      <c r="C11" s="1">
        <v>1</v>
      </c>
      <c r="D11" s="1" t="s">
        <v>91</v>
      </c>
      <c r="E11" s="62" t="s">
        <v>11</v>
      </c>
      <c r="F11" s="1" t="s">
        <v>77</v>
      </c>
      <c r="G11" s="62" t="s">
        <v>77</v>
      </c>
      <c r="H11" s="1" t="s">
        <v>221</v>
      </c>
      <c r="I11" s="62" t="s">
        <v>221</v>
      </c>
      <c r="J11" s="1" t="s">
        <v>24</v>
      </c>
      <c r="K11" s="62">
        <v>0.45</v>
      </c>
      <c r="L11" s="1">
        <v>95</v>
      </c>
      <c r="M11" s="93"/>
    </row>
    <row r="12" spans="1:13" ht="60">
      <c r="A12" s="1" t="s">
        <v>549</v>
      </c>
      <c r="B12" s="1" t="s">
        <v>550</v>
      </c>
      <c r="C12" s="1">
        <v>1</v>
      </c>
      <c r="D12" s="1" t="s">
        <v>230</v>
      </c>
      <c r="E12" s="62" t="s">
        <v>11</v>
      </c>
      <c r="F12" s="1" t="s">
        <v>221</v>
      </c>
      <c r="G12" s="62" t="s">
        <v>230</v>
      </c>
      <c r="H12" s="1" t="s">
        <v>221</v>
      </c>
      <c r="I12" s="62" t="s">
        <v>221</v>
      </c>
      <c r="J12" s="1" t="s">
        <v>340</v>
      </c>
      <c r="K12" s="62" t="s">
        <v>24</v>
      </c>
      <c r="L12" s="1">
        <v>90</v>
      </c>
      <c r="M12" s="93"/>
    </row>
    <row r="13" spans="1:13" ht="84.75" customHeight="1">
      <c r="A13" s="1" t="s">
        <v>551</v>
      </c>
      <c r="B13" s="1" t="s">
        <v>552</v>
      </c>
      <c r="C13" s="1">
        <v>3</v>
      </c>
      <c r="D13" s="1" t="s">
        <v>24</v>
      </c>
      <c r="E13" s="62" t="s">
        <v>11</v>
      </c>
      <c r="F13" s="1" t="s">
        <v>16</v>
      </c>
      <c r="G13" s="62" t="s">
        <v>24</v>
      </c>
      <c r="H13" s="1" t="s">
        <v>16</v>
      </c>
      <c r="I13" s="62" t="s">
        <v>16</v>
      </c>
      <c r="J13" s="1" t="s">
        <v>225</v>
      </c>
      <c r="K13" s="62">
        <v>1.2</v>
      </c>
      <c r="L13" s="1">
        <v>90</v>
      </c>
      <c r="M13" s="93"/>
    </row>
    <row r="14" spans="1:13" ht="75">
      <c r="A14" s="1" t="s">
        <v>554</v>
      </c>
      <c r="B14" s="1" t="s">
        <v>555</v>
      </c>
      <c r="C14" s="1">
        <v>1000</v>
      </c>
      <c r="D14" s="1" t="s">
        <v>556</v>
      </c>
      <c r="E14" s="62" t="s">
        <v>556</v>
      </c>
      <c r="F14" s="1" t="s">
        <v>265</v>
      </c>
      <c r="G14" s="62" t="s">
        <v>265</v>
      </c>
      <c r="H14" s="1" t="s">
        <v>265</v>
      </c>
      <c r="I14" s="62" t="s">
        <v>557</v>
      </c>
      <c r="J14" s="1" t="s">
        <v>558</v>
      </c>
      <c r="K14" s="62">
        <v>268</v>
      </c>
      <c r="L14" s="1">
        <v>100</v>
      </c>
      <c r="M14" s="93"/>
    </row>
    <row r="15" spans="1:13" ht="90">
      <c r="A15" s="1" t="s">
        <v>559</v>
      </c>
      <c r="B15" s="1" t="s">
        <v>560</v>
      </c>
      <c r="C15" s="1">
        <v>10</v>
      </c>
      <c r="D15" s="1" t="s">
        <v>13</v>
      </c>
      <c r="E15" s="62" t="s">
        <v>13</v>
      </c>
      <c r="F15" s="1" t="s">
        <v>84</v>
      </c>
      <c r="G15" s="62" t="s">
        <v>84</v>
      </c>
      <c r="H15" s="1" t="s">
        <v>84</v>
      </c>
      <c r="I15" s="62" t="s">
        <v>84</v>
      </c>
      <c r="J15" s="1" t="s">
        <v>13</v>
      </c>
      <c r="K15" s="62">
        <v>3</v>
      </c>
      <c r="L15" s="1">
        <v>100</v>
      </c>
      <c r="M15" s="93"/>
    </row>
    <row r="16" spans="1:13" ht="60">
      <c r="A16" s="1" t="s">
        <v>561</v>
      </c>
      <c r="B16" s="1" t="s">
        <v>562</v>
      </c>
      <c r="C16" s="1">
        <v>10</v>
      </c>
      <c r="D16" s="1" t="s">
        <v>10</v>
      </c>
      <c r="E16" s="62" t="s">
        <v>11</v>
      </c>
      <c r="F16" s="1" t="s">
        <v>84</v>
      </c>
      <c r="G16" s="62" t="s">
        <v>84</v>
      </c>
      <c r="H16" s="1" t="s">
        <v>212</v>
      </c>
      <c r="I16" s="62" t="s">
        <v>212</v>
      </c>
      <c r="J16" s="1" t="s">
        <v>84</v>
      </c>
      <c r="K16" s="62">
        <v>4</v>
      </c>
      <c r="L16" s="1">
        <v>100</v>
      </c>
      <c r="M16" s="93"/>
    </row>
    <row r="17" spans="1:13" ht="60">
      <c r="A17" s="1" t="s">
        <v>563</v>
      </c>
      <c r="B17" s="1" t="s">
        <v>564</v>
      </c>
      <c r="C17" s="1">
        <v>1</v>
      </c>
      <c r="D17" s="1" t="s">
        <v>221</v>
      </c>
      <c r="E17" s="62" t="s">
        <v>11</v>
      </c>
      <c r="F17" s="1" t="s">
        <v>221</v>
      </c>
      <c r="G17" s="62" t="s">
        <v>364</v>
      </c>
      <c r="H17" s="1" t="s">
        <v>78</v>
      </c>
      <c r="I17" s="62" t="s">
        <v>78</v>
      </c>
      <c r="J17" s="1" t="s">
        <v>565</v>
      </c>
      <c r="K17" s="62" t="s">
        <v>24</v>
      </c>
      <c r="L17" s="1">
        <v>91</v>
      </c>
      <c r="M17" s="93"/>
    </row>
    <row r="18" spans="1:13">
      <c r="L18" s="1">
        <f>SUBTOTAL(109,ReporteAvancePlanIndicativo313[Consolidado 2020 - 2023*])/16</f>
        <v>93.375</v>
      </c>
    </row>
  </sheetData>
  <phoneticPr fontId="4" type="noConversion"/>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7708E-B816-4A92-956B-95B65CCC43B2}">
  <dimension ref="A1:W17"/>
  <sheetViews>
    <sheetView topLeftCell="E10" workbookViewId="0">
      <selection activeCell="P18" sqref="P18"/>
    </sheetView>
  </sheetViews>
  <sheetFormatPr baseColWidth="10" defaultColWidth="9.140625" defaultRowHeight="15"/>
  <cols>
    <col min="1" max="2" width="29" style="1" customWidth="1"/>
    <col min="3" max="4" width="12.85546875" style="1" customWidth="1"/>
    <col min="5" max="5" width="10.85546875" style="1" customWidth="1"/>
    <col min="6" max="6" width="12.85546875" style="1" customWidth="1"/>
    <col min="7" max="7" width="14" style="1" customWidth="1"/>
    <col min="8" max="8" width="15" style="1" customWidth="1"/>
    <col min="9" max="9" width="12.28515625" style="1" customWidth="1"/>
    <col min="10" max="10" width="10.140625" style="1" customWidth="1"/>
    <col min="11" max="11" width="12.85546875" style="1" customWidth="1"/>
    <col min="12" max="12" width="14.7109375" style="1" customWidth="1"/>
    <col min="13" max="16" width="12.85546875" style="1" customWidth="1"/>
    <col min="17" max="17" width="13.5703125" style="1" customWidth="1"/>
    <col min="18" max="18" width="12.85546875" style="1" customWidth="1"/>
    <col min="19" max="19" width="12.42578125" style="1" customWidth="1"/>
    <col min="20" max="20" width="10.5703125" style="1" customWidth="1"/>
    <col min="21" max="21" width="12.85546875" style="1" customWidth="1"/>
    <col min="22" max="22" width="14.7109375" style="1" customWidth="1"/>
    <col min="23" max="23" width="23.85546875" style="1" customWidth="1"/>
    <col min="24" max="27" width="12.85546875" style="1" customWidth="1"/>
    <col min="28" max="16384" width="9.140625" style="1"/>
  </cols>
  <sheetData>
    <row r="1" spans="1:23" s="5" customFormat="1" ht="30">
      <c r="A1" s="5" t="s">
        <v>566</v>
      </c>
      <c r="B1" s="5" t="s">
        <v>567</v>
      </c>
      <c r="C1" s="5" t="s">
        <v>568</v>
      </c>
      <c r="D1" s="5" t="s">
        <v>569</v>
      </c>
      <c r="E1" s="5" t="s">
        <v>570</v>
      </c>
      <c r="F1" s="5" t="s">
        <v>571</v>
      </c>
      <c r="G1" s="5" t="s">
        <v>572</v>
      </c>
      <c r="H1" s="5" t="s">
        <v>573</v>
      </c>
      <c r="I1" s="5" t="s">
        <v>574</v>
      </c>
      <c r="J1" s="5" t="s">
        <v>575</v>
      </c>
      <c r="K1" s="5" t="s">
        <v>576</v>
      </c>
      <c r="L1" s="5" t="s">
        <v>577</v>
      </c>
      <c r="M1" s="5" t="s">
        <v>578</v>
      </c>
      <c r="N1" s="5" t="s">
        <v>579</v>
      </c>
      <c r="O1" s="5" t="s">
        <v>580</v>
      </c>
      <c r="P1" s="5" t="s">
        <v>581</v>
      </c>
      <c r="Q1" s="5" t="s">
        <v>582</v>
      </c>
      <c r="R1" s="5" t="s">
        <v>583</v>
      </c>
      <c r="S1" s="5" t="s">
        <v>584</v>
      </c>
      <c r="T1" s="5" t="s">
        <v>585</v>
      </c>
      <c r="U1" s="5" t="s">
        <v>586</v>
      </c>
      <c r="V1" s="5" t="s">
        <v>587</v>
      </c>
      <c r="W1" s="5" t="s">
        <v>588</v>
      </c>
    </row>
    <row r="2" spans="1:23" ht="60">
      <c r="A2" s="1" t="s">
        <v>468</v>
      </c>
      <c r="B2" s="1" t="s">
        <v>469</v>
      </c>
      <c r="C2" s="1">
        <v>380</v>
      </c>
      <c r="D2" s="1" t="s">
        <v>470</v>
      </c>
      <c r="E2" s="1" t="s">
        <v>470</v>
      </c>
      <c r="F2" s="1">
        <v>100</v>
      </c>
      <c r="G2" s="1" t="s">
        <v>5</v>
      </c>
      <c r="I2" s="1" t="s">
        <v>471</v>
      </c>
      <c r="J2" s="1" t="s">
        <v>471</v>
      </c>
      <c r="K2" s="1">
        <v>100</v>
      </c>
      <c r="L2" s="1" t="s">
        <v>5</v>
      </c>
      <c r="N2" s="1" t="s">
        <v>471</v>
      </c>
      <c r="O2" s="1" t="s">
        <v>471</v>
      </c>
      <c r="P2" s="1">
        <v>100</v>
      </c>
      <c r="Q2" s="1" t="s">
        <v>5</v>
      </c>
      <c r="S2" s="1" t="s">
        <v>42</v>
      </c>
      <c r="T2" s="1">
        <v>20</v>
      </c>
      <c r="U2" s="1">
        <v>50</v>
      </c>
      <c r="V2" s="1" t="s">
        <v>18</v>
      </c>
      <c r="W2" s="1" t="s">
        <v>592</v>
      </c>
    </row>
    <row r="3" spans="1:23" ht="30">
      <c r="A3" s="1" t="s">
        <v>472</v>
      </c>
      <c r="B3" s="1" t="s">
        <v>473</v>
      </c>
      <c r="C3" s="1">
        <v>4</v>
      </c>
      <c r="D3" s="1" t="s">
        <v>16</v>
      </c>
      <c r="E3" s="1" t="s">
        <v>16</v>
      </c>
      <c r="F3" s="1">
        <v>100</v>
      </c>
      <c r="G3" s="1" t="s">
        <v>5</v>
      </c>
      <c r="I3" s="1" t="s">
        <v>16</v>
      </c>
      <c r="J3" s="1" t="s">
        <v>16</v>
      </c>
      <c r="K3" s="1">
        <v>100</v>
      </c>
      <c r="L3" s="1" t="s">
        <v>5</v>
      </c>
      <c r="N3" s="1" t="s">
        <v>16</v>
      </c>
      <c r="O3" s="1" t="s">
        <v>16</v>
      </c>
      <c r="P3" s="1">
        <v>100</v>
      </c>
      <c r="Q3" s="1" t="s">
        <v>5</v>
      </c>
      <c r="S3" s="1" t="s">
        <v>16</v>
      </c>
      <c r="T3" s="1" t="s">
        <v>16</v>
      </c>
      <c r="U3" s="1">
        <v>100</v>
      </c>
      <c r="V3" s="1" t="s">
        <v>5</v>
      </c>
      <c r="W3" s="1" t="s">
        <v>140</v>
      </c>
    </row>
    <row r="4" spans="1:23" ht="30">
      <c r="A4" s="1" t="s">
        <v>474</v>
      </c>
      <c r="B4" s="1" t="s">
        <v>475</v>
      </c>
      <c r="C4" s="1">
        <v>1</v>
      </c>
      <c r="D4" s="1" t="s">
        <v>24</v>
      </c>
      <c r="E4" s="1" t="s">
        <v>11</v>
      </c>
      <c r="F4" s="1">
        <v>0</v>
      </c>
      <c r="G4" s="1" t="s">
        <v>14</v>
      </c>
      <c r="I4" s="1" t="s">
        <v>91</v>
      </c>
      <c r="J4" s="1" t="s">
        <v>476</v>
      </c>
      <c r="K4" s="1">
        <v>24</v>
      </c>
      <c r="L4" s="1" t="s">
        <v>14</v>
      </c>
      <c r="N4" s="1" t="s">
        <v>230</v>
      </c>
      <c r="O4" s="1" t="s">
        <v>230</v>
      </c>
      <c r="P4" s="1">
        <v>100</v>
      </c>
      <c r="Q4" s="1" t="s">
        <v>5</v>
      </c>
      <c r="S4" s="1" t="s">
        <v>478</v>
      </c>
      <c r="T4" s="1" t="s">
        <v>11</v>
      </c>
      <c r="U4" s="1">
        <v>0</v>
      </c>
      <c r="V4" s="1" t="s">
        <v>14</v>
      </c>
    </row>
    <row r="5" spans="1:23" ht="30">
      <c r="A5" s="1" t="s">
        <v>479</v>
      </c>
      <c r="B5" s="1" t="s">
        <v>480</v>
      </c>
      <c r="C5" s="1">
        <v>40</v>
      </c>
      <c r="D5" s="1" t="s">
        <v>10</v>
      </c>
      <c r="E5" s="1" t="s">
        <v>11</v>
      </c>
      <c r="F5" s="1">
        <v>0</v>
      </c>
      <c r="I5" s="1" t="s">
        <v>56</v>
      </c>
      <c r="J5" s="1" t="s">
        <v>56</v>
      </c>
      <c r="K5" s="1">
        <v>100</v>
      </c>
      <c r="L5" s="1" t="s">
        <v>5</v>
      </c>
      <c r="N5" s="1" t="s">
        <v>158</v>
      </c>
      <c r="O5" s="1" t="s">
        <v>158</v>
      </c>
      <c r="P5" s="1">
        <v>100</v>
      </c>
      <c r="Q5" s="1" t="s">
        <v>5</v>
      </c>
      <c r="S5" s="1" t="s">
        <v>158</v>
      </c>
      <c r="T5" s="1">
        <v>14</v>
      </c>
      <c r="U5" s="1">
        <v>93</v>
      </c>
      <c r="V5" s="1" t="s">
        <v>108</v>
      </c>
      <c r="W5" s="1" t="s">
        <v>140</v>
      </c>
    </row>
    <row r="6" spans="1:23" ht="30">
      <c r="A6" s="1" t="s">
        <v>481</v>
      </c>
      <c r="B6" s="1" t="s">
        <v>482</v>
      </c>
      <c r="C6" s="1">
        <v>3</v>
      </c>
      <c r="D6" s="1" t="s">
        <v>16</v>
      </c>
      <c r="E6" s="1" t="s">
        <v>11</v>
      </c>
      <c r="F6" s="1">
        <v>0</v>
      </c>
      <c r="G6" s="1" t="s">
        <v>14</v>
      </c>
      <c r="I6" s="1" t="s">
        <v>24</v>
      </c>
      <c r="J6" s="1" t="s">
        <v>24</v>
      </c>
      <c r="K6" s="1">
        <v>100</v>
      </c>
      <c r="L6" s="1" t="s">
        <v>5</v>
      </c>
      <c r="N6" s="1" t="s">
        <v>225</v>
      </c>
      <c r="O6" s="1" t="s">
        <v>225</v>
      </c>
      <c r="P6" s="1">
        <v>100</v>
      </c>
      <c r="Q6" s="1" t="s">
        <v>5</v>
      </c>
      <c r="S6" s="1" t="s">
        <v>16</v>
      </c>
      <c r="T6" s="1" t="s">
        <v>340</v>
      </c>
      <c r="U6" s="1">
        <v>60</v>
      </c>
      <c r="V6" s="1" t="s">
        <v>18</v>
      </c>
      <c r="W6" s="1" t="s">
        <v>140</v>
      </c>
    </row>
    <row r="7" spans="1:23" ht="30">
      <c r="A7" s="1" t="s">
        <v>481</v>
      </c>
      <c r="B7" s="1" t="s">
        <v>483</v>
      </c>
      <c r="C7" s="1">
        <v>3</v>
      </c>
      <c r="D7" s="1" t="s">
        <v>16</v>
      </c>
      <c r="E7" s="1" t="s">
        <v>11</v>
      </c>
      <c r="F7" s="1">
        <v>0</v>
      </c>
      <c r="G7" s="1" t="s">
        <v>14</v>
      </c>
      <c r="I7" s="1" t="s">
        <v>24</v>
      </c>
      <c r="J7" s="1" t="s">
        <v>24</v>
      </c>
      <c r="K7" s="1">
        <v>100</v>
      </c>
      <c r="L7" s="1" t="s">
        <v>5</v>
      </c>
      <c r="N7" s="1" t="s">
        <v>225</v>
      </c>
      <c r="O7" s="1" t="s">
        <v>225</v>
      </c>
      <c r="P7" s="1">
        <v>100</v>
      </c>
      <c r="Q7" s="1" t="s">
        <v>5</v>
      </c>
      <c r="S7" s="1" t="s">
        <v>16</v>
      </c>
      <c r="T7" s="1">
        <v>0.5</v>
      </c>
      <c r="U7" s="1">
        <v>50</v>
      </c>
      <c r="V7" s="1" t="s">
        <v>18</v>
      </c>
      <c r="W7" s="1" t="s">
        <v>140</v>
      </c>
    </row>
    <row r="8" spans="1:23" ht="30">
      <c r="A8" s="1" t="s">
        <v>484</v>
      </c>
      <c r="B8" s="1" t="s">
        <v>485</v>
      </c>
      <c r="C8" s="1">
        <v>450</v>
      </c>
      <c r="D8" s="1" t="s">
        <v>187</v>
      </c>
      <c r="E8" s="1" t="s">
        <v>187</v>
      </c>
      <c r="F8" s="1">
        <v>100</v>
      </c>
      <c r="G8" s="1" t="s">
        <v>5</v>
      </c>
      <c r="I8" s="1" t="s">
        <v>187</v>
      </c>
      <c r="J8" s="1" t="s">
        <v>486</v>
      </c>
      <c r="K8" s="1">
        <v>100</v>
      </c>
      <c r="L8" s="1" t="s">
        <v>5</v>
      </c>
      <c r="N8" s="1" t="s">
        <v>487</v>
      </c>
      <c r="O8" s="1" t="s">
        <v>487</v>
      </c>
      <c r="P8" s="1">
        <v>100</v>
      </c>
      <c r="Q8" s="1" t="s">
        <v>5</v>
      </c>
      <c r="S8" s="1" t="s">
        <v>487</v>
      </c>
      <c r="T8" s="1">
        <v>292</v>
      </c>
      <c r="U8" s="1">
        <v>100</v>
      </c>
      <c r="V8" s="1" t="s">
        <v>5</v>
      </c>
      <c r="W8" s="1" t="s">
        <v>140</v>
      </c>
    </row>
    <row r="9" spans="1:23" ht="75">
      <c r="A9" s="1" t="s">
        <v>488</v>
      </c>
      <c r="B9" s="1" t="s">
        <v>489</v>
      </c>
      <c r="C9" s="1">
        <v>950</v>
      </c>
      <c r="D9" s="1" t="s">
        <v>17</v>
      </c>
      <c r="E9" s="1" t="s">
        <v>11</v>
      </c>
      <c r="F9" s="1">
        <v>0</v>
      </c>
      <c r="G9" s="1" t="s">
        <v>14</v>
      </c>
      <c r="I9" s="1" t="s">
        <v>490</v>
      </c>
      <c r="J9" s="1" t="s">
        <v>491</v>
      </c>
      <c r="K9" s="1">
        <v>100</v>
      </c>
      <c r="L9" s="1" t="s">
        <v>5</v>
      </c>
      <c r="N9" s="1" t="s">
        <v>492</v>
      </c>
      <c r="O9" s="1" t="s">
        <v>143</v>
      </c>
      <c r="P9" s="1">
        <v>96.58</v>
      </c>
      <c r="Q9" s="1" t="s">
        <v>5</v>
      </c>
      <c r="S9" s="1" t="s">
        <v>493</v>
      </c>
      <c r="T9" s="1">
        <v>177</v>
      </c>
      <c r="U9" s="1">
        <v>100</v>
      </c>
      <c r="V9" s="1" t="s">
        <v>5</v>
      </c>
      <c r="W9" s="1" t="s">
        <v>140</v>
      </c>
    </row>
    <row r="10" spans="1:23" ht="30">
      <c r="A10" s="1" t="s">
        <v>494</v>
      </c>
      <c r="B10" s="1" t="s">
        <v>495</v>
      </c>
      <c r="C10" s="1">
        <v>5000</v>
      </c>
      <c r="D10" s="1" t="s">
        <v>95</v>
      </c>
      <c r="E10" s="1" t="s">
        <v>95</v>
      </c>
      <c r="F10" s="1">
        <v>100</v>
      </c>
      <c r="G10" s="1" t="s">
        <v>5</v>
      </c>
      <c r="I10" s="1" t="s">
        <v>496</v>
      </c>
      <c r="J10" s="1" t="s">
        <v>497</v>
      </c>
      <c r="K10" s="1">
        <v>97.36</v>
      </c>
      <c r="L10" s="1" t="s">
        <v>5</v>
      </c>
      <c r="N10" s="1" t="s">
        <v>498</v>
      </c>
      <c r="O10" s="1" t="s">
        <v>499</v>
      </c>
      <c r="P10" s="1">
        <v>100</v>
      </c>
      <c r="Q10" s="1" t="s">
        <v>5</v>
      </c>
      <c r="S10" s="1" t="s">
        <v>498</v>
      </c>
      <c r="T10" s="1" t="s">
        <v>500</v>
      </c>
      <c r="U10" s="1">
        <v>90.06</v>
      </c>
      <c r="V10" s="1" t="s">
        <v>5</v>
      </c>
      <c r="W10" s="1" t="s">
        <v>140</v>
      </c>
    </row>
    <row r="11" spans="1:23" ht="85.5" customHeight="1">
      <c r="A11" s="1" t="s">
        <v>501</v>
      </c>
      <c r="B11" s="1" t="s">
        <v>502</v>
      </c>
      <c r="C11" s="1">
        <v>4000</v>
      </c>
      <c r="D11" s="1" t="s">
        <v>98</v>
      </c>
      <c r="E11" s="1" t="s">
        <v>98</v>
      </c>
      <c r="F11" s="1">
        <v>100</v>
      </c>
      <c r="G11" s="1" t="s">
        <v>5</v>
      </c>
      <c r="H11" s="1" t="s">
        <v>503</v>
      </c>
      <c r="I11" s="1" t="s">
        <v>98</v>
      </c>
      <c r="J11" s="1" t="s">
        <v>504</v>
      </c>
      <c r="K11" s="1">
        <v>100</v>
      </c>
      <c r="L11" s="1" t="s">
        <v>5</v>
      </c>
      <c r="N11" s="1" t="s">
        <v>98</v>
      </c>
      <c r="O11" s="1" t="s">
        <v>505</v>
      </c>
      <c r="P11" s="1">
        <v>100</v>
      </c>
      <c r="Q11" s="1" t="s">
        <v>5</v>
      </c>
      <c r="S11" s="1" t="s">
        <v>98</v>
      </c>
      <c r="T11" s="1">
        <v>909</v>
      </c>
      <c r="U11" s="1">
        <v>90.09</v>
      </c>
      <c r="V11" s="1" t="s">
        <v>5</v>
      </c>
      <c r="W11" s="1" t="s">
        <v>605</v>
      </c>
    </row>
    <row r="12" spans="1:23" ht="135">
      <c r="A12" s="1" t="s">
        <v>506</v>
      </c>
      <c r="B12" s="1" t="s">
        <v>507</v>
      </c>
      <c r="C12" s="1">
        <v>3</v>
      </c>
      <c r="D12" s="1" t="s">
        <v>84</v>
      </c>
      <c r="E12" s="1" t="s">
        <v>11</v>
      </c>
      <c r="F12" s="1">
        <v>0</v>
      </c>
      <c r="G12" s="1" t="s">
        <v>14</v>
      </c>
      <c r="I12" s="1" t="s">
        <v>84</v>
      </c>
      <c r="J12" s="1" t="s">
        <v>84</v>
      </c>
      <c r="K12" s="1">
        <v>100</v>
      </c>
      <c r="L12" s="1" t="s">
        <v>5</v>
      </c>
      <c r="N12" s="1" t="s">
        <v>212</v>
      </c>
      <c r="O12" s="1" t="s">
        <v>212</v>
      </c>
      <c r="P12" s="1">
        <v>100</v>
      </c>
      <c r="Q12" s="1" t="s">
        <v>5</v>
      </c>
      <c r="S12" s="1" t="s">
        <v>172</v>
      </c>
      <c r="T12" s="1">
        <v>4</v>
      </c>
      <c r="U12" s="1">
        <v>80</v>
      </c>
      <c r="V12" s="1" t="s">
        <v>108</v>
      </c>
      <c r="W12" s="1" t="s">
        <v>598</v>
      </c>
    </row>
    <row r="13" spans="1:23" ht="45">
      <c r="A13" s="1" t="s">
        <v>508</v>
      </c>
      <c r="B13" s="1" t="s">
        <v>509</v>
      </c>
      <c r="C13" s="1">
        <v>240</v>
      </c>
      <c r="D13" s="1" t="s">
        <v>42</v>
      </c>
      <c r="E13" s="1" t="s">
        <v>11</v>
      </c>
      <c r="F13" s="1">
        <v>0</v>
      </c>
      <c r="G13" s="1" t="s">
        <v>14</v>
      </c>
      <c r="I13" s="1" t="s">
        <v>187</v>
      </c>
      <c r="J13" s="1" t="s">
        <v>187</v>
      </c>
      <c r="K13" s="1">
        <v>100</v>
      </c>
      <c r="L13" s="1" t="s">
        <v>5</v>
      </c>
      <c r="N13" s="1" t="s">
        <v>163</v>
      </c>
      <c r="O13" s="1" t="s">
        <v>510</v>
      </c>
      <c r="P13" s="1">
        <v>100</v>
      </c>
      <c r="Q13" s="1" t="s">
        <v>5</v>
      </c>
      <c r="S13" s="1" t="s">
        <v>163</v>
      </c>
      <c r="T13" s="1">
        <v>160</v>
      </c>
      <c r="U13" s="1">
        <v>100</v>
      </c>
      <c r="V13" s="1" t="s">
        <v>5</v>
      </c>
      <c r="W13" s="1" t="s">
        <v>140</v>
      </c>
    </row>
    <row r="14" spans="1:23" ht="60">
      <c r="A14" s="1" t="s">
        <v>511</v>
      </c>
      <c r="B14" s="1" t="s">
        <v>512</v>
      </c>
      <c r="C14" s="1">
        <v>2</v>
      </c>
      <c r="D14" s="1" t="s">
        <v>13</v>
      </c>
      <c r="E14" s="1" t="s">
        <v>11</v>
      </c>
      <c r="F14" s="1">
        <v>0</v>
      </c>
      <c r="G14" s="1" t="s">
        <v>14</v>
      </c>
      <c r="I14" s="1" t="s">
        <v>13</v>
      </c>
      <c r="J14" s="1" t="s">
        <v>13</v>
      </c>
      <c r="K14" s="1">
        <v>100</v>
      </c>
      <c r="L14" s="1" t="s">
        <v>5</v>
      </c>
      <c r="N14" s="1" t="s">
        <v>13</v>
      </c>
      <c r="O14" s="1" t="s">
        <v>13</v>
      </c>
      <c r="P14" s="1">
        <v>100</v>
      </c>
      <c r="Q14" s="1" t="s">
        <v>5</v>
      </c>
      <c r="S14" s="1" t="s">
        <v>212</v>
      </c>
      <c r="T14" s="1" t="s">
        <v>212</v>
      </c>
      <c r="U14" s="1">
        <v>100</v>
      </c>
      <c r="V14" s="1" t="s">
        <v>5</v>
      </c>
      <c r="W14" s="1" t="s">
        <v>140</v>
      </c>
    </row>
    <row r="15" spans="1:23" ht="45">
      <c r="A15" s="1" t="s">
        <v>88</v>
      </c>
      <c r="B15" s="1" t="s">
        <v>513</v>
      </c>
      <c r="C15" s="1">
        <v>1</v>
      </c>
      <c r="D15" s="1" t="s">
        <v>16</v>
      </c>
      <c r="E15" s="1" t="s">
        <v>11</v>
      </c>
      <c r="F15" s="1">
        <v>0</v>
      </c>
      <c r="G15" s="1" t="s">
        <v>14</v>
      </c>
      <c r="I15" s="1" t="s">
        <v>16</v>
      </c>
      <c r="J15" s="1" t="s">
        <v>16</v>
      </c>
      <c r="K15" s="1">
        <v>100</v>
      </c>
      <c r="L15" s="1" t="s">
        <v>5</v>
      </c>
      <c r="N15" s="1" t="s">
        <v>16</v>
      </c>
      <c r="O15" s="1" t="s">
        <v>16</v>
      </c>
      <c r="P15" s="1">
        <v>100</v>
      </c>
      <c r="Q15" s="1" t="s">
        <v>5</v>
      </c>
      <c r="S15" s="1" t="s">
        <v>13</v>
      </c>
      <c r="T15" s="1" t="s">
        <v>225</v>
      </c>
      <c r="U15" s="1">
        <v>75</v>
      </c>
      <c r="V15" s="1" t="s">
        <v>108</v>
      </c>
      <c r="W15" s="1" t="s">
        <v>140</v>
      </c>
    </row>
    <row r="16" spans="1:23" ht="30">
      <c r="A16" s="1" t="s">
        <v>514</v>
      </c>
      <c r="B16" s="1" t="s">
        <v>515</v>
      </c>
      <c r="C16" s="1">
        <v>680</v>
      </c>
      <c r="D16" s="1" t="s">
        <v>282</v>
      </c>
      <c r="E16" s="1" t="s">
        <v>282</v>
      </c>
      <c r="F16" s="1">
        <v>100</v>
      </c>
      <c r="G16" s="1" t="s">
        <v>5</v>
      </c>
      <c r="I16" s="1" t="s">
        <v>516</v>
      </c>
      <c r="J16" s="1" t="s">
        <v>516</v>
      </c>
      <c r="K16" s="1">
        <v>100</v>
      </c>
      <c r="L16" s="1" t="s">
        <v>5</v>
      </c>
      <c r="N16" s="1" t="s">
        <v>517</v>
      </c>
      <c r="O16" s="1" t="s">
        <v>517</v>
      </c>
      <c r="P16" s="1">
        <v>100</v>
      </c>
      <c r="Q16" s="1" t="s">
        <v>5</v>
      </c>
      <c r="S16" s="1" t="s">
        <v>518</v>
      </c>
      <c r="T16" s="1" t="s">
        <v>519</v>
      </c>
      <c r="U16" s="1">
        <v>100</v>
      </c>
      <c r="V16" s="1" t="s">
        <v>5</v>
      </c>
      <c r="W16" s="1" t="s">
        <v>140</v>
      </c>
    </row>
    <row r="17" spans="6:21">
      <c r="F17" s="1">
        <f>SUBTOTAL(109,ReporteAvancePlanIndicativo31427[% Avance 2020])/14</f>
        <v>42.857142857142854</v>
      </c>
      <c r="K17" s="1">
        <f>SUBTOTAL(109,ReporteAvancePlanIndicativo31427[% Avance 2021])/15</f>
        <v>94.757333333333335</v>
      </c>
      <c r="P17" s="1">
        <f>SUBTOTAL(109,ReporteAvancePlanIndicativo31427[% Avance 2022])/15</f>
        <v>99.771999999999991</v>
      </c>
      <c r="U17" s="1">
        <f>SUBTOTAL(109,ReporteAvancePlanIndicativo31427[% Avance 2023])/15</f>
        <v>79.210000000000008</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A7" workbookViewId="0">
      <selection activeCell="I18" sqref="I18"/>
    </sheetView>
  </sheetViews>
  <sheetFormatPr baseColWidth="10" defaultColWidth="9.140625" defaultRowHeight="15"/>
  <cols>
    <col min="1" max="2" width="29" style="1" customWidth="1"/>
    <col min="3" max="4" width="12.85546875" style="1" customWidth="1"/>
    <col min="5" max="5" width="10.85546875" style="1" customWidth="1"/>
    <col min="6" max="6" width="12.28515625" style="1" customWidth="1"/>
    <col min="7" max="7" width="10.140625" style="1" customWidth="1"/>
    <col min="8" max="9" width="12.85546875" style="1" customWidth="1"/>
    <col min="10" max="10" width="12.42578125" style="1" customWidth="1"/>
    <col min="11" max="11" width="10.5703125" style="1" customWidth="1"/>
    <col min="12" max="12" width="15" style="1" customWidth="1"/>
    <col min="13" max="13" width="8.85546875" style="1" customWidth="1"/>
    <col min="14" max="15" width="12.85546875" style="1" customWidth="1"/>
    <col min="16" max="16384" width="9.140625" style="1"/>
  </cols>
  <sheetData>
    <row r="1" spans="1:13" s="5" customFormat="1" ht="30">
      <c r="A1" s="5" t="s">
        <v>566</v>
      </c>
      <c r="B1" s="5" t="s">
        <v>567</v>
      </c>
      <c r="C1" s="5" t="s">
        <v>568</v>
      </c>
      <c r="D1" s="5" t="s">
        <v>569</v>
      </c>
      <c r="E1" s="5" t="s">
        <v>570</v>
      </c>
      <c r="F1" s="5" t="s">
        <v>574</v>
      </c>
      <c r="G1" s="5" t="s">
        <v>575</v>
      </c>
      <c r="H1" s="5" t="s">
        <v>579</v>
      </c>
      <c r="I1" s="5" t="s">
        <v>580</v>
      </c>
      <c r="J1" s="5" t="s">
        <v>584</v>
      </c>
      <c r="K1" s="5" t="s">
        <v>585</v>
      </c>
      <c r="L1" s="5" t="s">
        <v>643</v>
      </c>
      <c r="M1" s="5" t="s">
        <v>649</v>
      </c>
    </row>
    <row r="2" spans="1:13" ht="60">
      <c r="A2" s="1" t="s">
        <v>468</v>
      </c>
      <c r="B2" s="1" t="s">
        <v>469</v>
      </c>
      <c r="C2" s="1">
        <v>380</v>
      </c>
      <c r="D2" s="1" t="s">
        <v>470</v>
      </c>
      <c r="E2" s="62" t="s">
        <v>470</v>
      </c>
      <c r="F2" s="1" t="s">
        <v>471</v>
      </c>
      <c r="G2" s="62" t="s">
        <v>471</v>
      </c>
      <c r="H2" s="1" t="s">
        <v>471</v>
      </c>
      <c r="I2" s="62" t="s">
        <v>471</v>
      </c>
      <c r="J2" s="1" t="s">
        <v>42</v>
      </c>
      <c r="K2" s="62">
        <v>20</v>
      </c>
      <c r="L2" s="1">
        <v>94.73</v>
      </c>
      <c r="M2" s="93"/>
    </row>
    <row r="3" spans="1:13" ht="30">
      <c r="A3" s="1" t="s">
        <v>472</v>
      </c>
      <c r="B3" s="1" t="s">
        <v>473</v>
      </c>
      <c r="C3" s="1">
        <v>4</v>
      </c>
      <c r="D3" s="1" t="s">
        <v>16</v>
      </c>
      <c r="E3" s="62" t="s">
        <v>16</v>
      </c>
      <c r="F3" s="1" t="s">
        <v>16</v>
      </c>
      <c r="G3" s="62" t="s">
        <v>16</v>
      </c>
      <c r="H3" s="1" t="s">
        <v>16</v>
      </c>
      <c r="I3" s="62" t="s">
        <v>16</v>
      </c>
      <c r="J3" s="1" t="s">
        <v>16</v>
      </c>
      <c r="K3" s="62" t="s">
        <v>16</v>
      </c>
      <c r="L3" s="1">
        <v>100</v>
      </c>
      <c r="M3" s="93"/>
    </row>
    <row r="4" spans="1:13" ht="30">
      <c r="A4" s="1" t="s">
        <v>474</v>
      </c>
      <c r="B4" s="1" t="s">
        <v>475</v>
      </c>
      <c r="C4" s="1">
        <v>1</v>
      </c>
      <c r="D4" s="1" t="s">
        <v>24</v>
      </c>
      <c r="E4" s="62" t="s">
        <v>11</v>
      </c>
      <c r="F4" s="1" t="s">
        <v>91</v>
      </c>
      <c r="G4" s="62" t="s">
        <v>476</v>
      </c>
      <c r="H4" s="1" t="s">
        <v>230</v>
      </c>
      <c r="I4" s="62" t="s">
        <v>230</v>
      </c>
      <c r="J4" s="1" t="s">
        <v>478</v>
      </c>
      <c r="K4" s="62" t="s">
        <v>11</v>
      </c>
      <c r="L4" s="1">
        <v>16</v>
      </c>
      <c r="M4" s="95"/>
    </row>
    <row r="5" spans="1:13" ht="30">
      <c r="A5" s="1" t="s">
        <v>479</v>
      </c>
      <c r="B5" s="1" t="s">
        <v>480</v>
      </c>
      <c r="C5" s="1">
        <v>40</v>
      </c>
      <c r="D5" s="1" t="s">
        <v>10</v>
      </c>
      <c r="E5" s="62" t="s">
        <v>11</v>
      </c>
      <c r="F5" s="1" t="s">
        <v>56</v>
      </c>
      <c r="G5" s="62" t="s">
        <v>56</v>
      </c>
      <c r="H5" s="1" t="s">
        <v>158</v>
      </c>
      <c r="I5" s="62" t="s">
        <v>158</v>
      </c>
      <c r="J5" s="1" t="s">
        <v>158</v>
      </c>
      <c r="K5" s="62">
        <v>14</v>
      </c>
      <c r="L5" s="1">
        <v>97.5</v>
      </c>
      <c r="M5" s="93"/>
    </row>
    <row r="6" spans="1:13" ht="30">
      <c r="A6" s="1" t="s">
        <v>481</v>
      </c>
      <c r="B6" s="1" t="s">
        <v>482</v>
      </c>
      <c r="C6" s="1">
        <v>3</v>
      </c>
      <c r="D6" s="1" t="s">
        <v>16</v>
      </c>
      <c r="E6" s="62" t="s">
        <v>11</v>
      </c>
      <c r="F6" s="1" t="s">
        <v>24</v>
      </c>
      <c r="G6" s="62" t="s">
        <v>24</v>
      </c>
      <c r="H6" s="1" t="s">
        <v>225</v>
      </c>
      <c r="I6" s="62" t="s">
        <v>225</v>
      </c>
      <c r="J6" s="1" t="s">
        <v>16</v>
      </c>
      <c r="K6" s="62" t="s">
        <v>340</v>
      </c>
      <c r="L6" s="1">
        <v>86.66</v>
      </c>
      <c r="M6" s="93"/>
    </row>
    <row r="7" spans="1:13" ht="30">
      <c r="A7" s="1" t="s">
        <v>481</v>
      </c>
      <c r="B7" s="1" t="s">
        <v>483</v>
      </c>
      <c r="C7" s="1">
        <v>3</v>
      </c>
      <c r="D7" s="1" t="s">
        <v>16</v>
      </c>
      <c r="E7" s="62" t="s">
        <v>11</v>
      </c>
      <c r="F7" s="1" t="s">
        <v>24</v>
      </c>
      <c r="G7" s="62" t="s">
        <v>24</v>
      </c>
      <c r="H7" s="1" t="s">
        <v>225</v>
      </c>
      <c r="I7" s="62" t="s">
        <v>225</v>
      </c>
      <c r="J7" s="1" t="s">
        <v>16</v>
      </c>
      <c r="K7" s="62">
        <v>0.5</v>
      </c>
      <c r="L7" s="1">
        <v>83.33</v>
      </c>
      <c r="M7" s="93"/>
    </row>
    <row r="8" spans="1:13" ht="30">
      <c r="A8" s="1" t="s">
        <v>484</v>
      </c>
      <c r="B8" s="1" t="s">
        <v>485</v>
      </c>
      <c r="C8" s="1">
        <v>450</v>
      </c>
      <c r="D8" s="1" t="s">
        <v>187</v>
      </c>
      <c r="E8" s="62" t="s">
        <v>187</v>
      </c>
      <c r="F8" s="1" t="s">
        <v>187</v>
      </c>
      <c r="G8" s="62" t="s">
        <v>486</v>
      </c>
      <c r="H8" s="1" t="s">
        <v>487</v>
      </c>
      <c r="I8" s="62" t="s">
        <v>487</v>
      </c>
      <c r="J8" s="1" t="s">
        <v>487</v>
      </c>
      <c r="K8" s="62">
        <v>292</v>
      </c>
      <c r="L8" s="1">
        <v>100</v>
      </c>
      <c r="M8" s="93"/>
    </row>
    <row r="9" spans="1:13" ht="75">
      <c r="A9" s="1" t="s">
        <v>488</v>
      </c>
      <c r="B9" s="1" t="s">
        <v>489</v>
      </c>
      <c r="C9" s="1">
        <v>950</v>
      </c>
      <c r="D9" s="1" t="s">
        <v>17</v>
      </c>
      <c r="E9" s="62" t="s">
        <v>11</v>
      </c>
      <c r="F9" s="1" t="s">
        <v>490</v>
      </c>
      <c r="G9" s="62" t="s">
        <v>491</v>
      </c>
      <c r="H9" s="1" t="s">
        <v>492</v>
      </c>
      <c r="I9" s="62" t="s">
        <v>143</v>
      </c>
      <c r="J9" s="1" t="s">
        <v>493</v>
      </c>
      <c r="K9" s="62">
        <v>177</v>
      </c>
      <c r="L9" s="1">
        <v>99.05</v>
      </c>
      <c r="M9" s="93"/>
    </row>
    <row r="10" spans="1:13" ht="30">
      <c r="A10" s="1" t="s">
        <v>494</v>
      </c>
      <c r="B10" s="1" t="s">
        <v>495</v>
      </c>
      <c r="C10" s="1">
        <v>5000</v>
      </c>
      <c r="D10" s="1" t="s">
        <v>95</v>
      </c>
      <c r="E10" s="62" t="s">
        <v>95</v>
      </c>
      <c r="F10" s="1" t="s">
        <v>496</v>
      </c>
      <c r="G10" s="62" t="s">
        <v>497</v>
      </c>
      <c r="H10" s="1" t="s">
        <v>498</v>
      </c>
      <c r="I10" s="62" t="s">
        <v>499</v>
      </c>
      <c r="J10" s="1" t="s">
        <v>498</v>
      </c>
      <c r="K10" s="62" t="s">
        <v>500</v>
      </c>
      <c r="L10" s="1">
        <v>100</v>
      </c>
      <c r="M10" s="93"/>
    </row>
    <row r="11" spans="1:13" ht="43.5" customHeight="1">
      <c r="A11" s="1" t="s">
        <v>501</v>
      </c>
      <c r="B11" s="1" t="s">
        <v>502</v>
      </c>
      <c r="C11" s="1">
        <v>4000</v>
      </c>
      <c r="D11" s="1" t="s">
        <v>98</v>
      </c>
      <c r="E11" s="62" t="s">
        <v>98</v>
      </c>
      <c r="F11" s="1" t="s">
        <v>98</v>
      </c>
      <c r="G11" s="62" t="s">
        <v>504</v>
      </c>
      <c r="H11" s="1" t="s">
        <v>98</v>
      </c>
      <c r="I11" s="62" t="s">
        <v>505</v>
      </c>
      <c r="J11" s="1" t="s">
        <v>98</v>
      </c>
      <c r="K11" s="62">
        <v>909</v>
      </c>
      <c r="L11" s="1">
        <v>100</v>
      </c>
      <c r="M11" s="93"/>
    </row>
    <row r="12" spans="1:13" ht="75">
      <c r="A12" s="1" t="s">
        <v>506</v>
      </c>
      <c r="B12" s="1" t="s">
        <v>507</v>
      </c>
      <c r="C12" s="1">
        <v>3</v>
      </c>
      <c r="D12" s="1" t="s">
        <v>84</v>
      </c>
      <c r="E12" s="62" t="s">
        <v>11</v>
      </c>
      <c r="F12" s="1" t="s">
        <v>84</v>
      </c>
      <c r="G12" s="62" t="s">
        <v>84</v>
      </c>
      <c r="H12" s="1" t="s">
        <v>212</v>
      </c>
      <c r="I12" s="62" t="s">
        <v>212</v>
      </c>
      <c r="J12" s="1" t="s">
        <v>172</v>
      </c>
      <c r="K12" s="62">
        <v>4</v>
      </c>
      <c r="L12" s="1">
        <v>100</v>
      </c>
      <c r="M12" s="93"/>
    </row>
    <row r="13" spans="1:13" ht="45">
      <c r="A13" s="1" t="s">
        <v>508</v>
      </c>
      <c r="B13" s="1" t="s">
        <v>509</v>
      </c>
      <c r="C13" s="1">
        <v>240</v>
      </c>
      <c r="D13" s="1" t="s">
        <v>42</v>
      </c>
      <c r="E13" s="62" t="s">
        <v>11</v>
      </c>
      <c r="F13" s="1" t="s">
        <v>187</v>
      </c>
      <c r="G13" s="62" t="s">
        <v>187</v>
      </c>
      <c r="H13" s="1" t="s">
        <v>163</v>
      </c>
      <c r="I13" s="62" t="s">
        <v>510</v>
      </c>
      <c r="J13" s="1" t="s">
        <v>163</v>
      </c>
      <c r="K13" s="62">
        <v>160</v>
      </c>
      <c r="L13" s="1">
        <v>100</v>
      </c>
      <c r="M13" s="93"/>
    </row>
    <row r="14" spans="1:13" ht="60">
      <c r="A14" s="1" t="s">
        <v>511</v>
      </c>
      <c r="B14" s="1" t="s">
        <v>512</v>
      </c>
      <c r="C14" s="1">
        <v>2</v>
      </c>
      <c r="D14" s="1" t="s">
        <v>13</v>
      </c>
      <c r="E14" s="62" t="s">
        <v>11</v>
      </c>
      <c r="F14" s="1" t="s">
        <v>13</v>
      </c>
      <c r="G14" s="62" t="s">
        <v>13</v>
      </c>
      <c r="H14" s="1" t="s">
        <v>13</v>
      </c>
      <c r="I14" s="62" t="s">
        <v>13</v>
      </c>
      <c r="J14" s="1" t="s">
        <v>212</v>
      </c>
      <c r="K14" s="62" t="s">
        <v>212</v>
      </c>
      <c r="L14" s="1">
        <v>100</v>
      </c>
      <c r="M14" s="93"/>
    </row>
    <row r="15" spans="1:13" ht="45">
      <c r="A15" s="1" t="s">
        <v>88</v>
      </c>
      <c r="B15" s="1" t="s">
        <v>513</v>
      </c>
      <c r="C15" s="1">
        <v>1</v>
      </c>
      <c r="D15" s="1" t="s">
        <v>16</v>
      </c>
      <c r="E15" s="62" t="s">
        <v>11</v>
      </c>
      <c r="F15" s="1" t="s">
        <v>16</v>
      </c>
      <c r="G15" s="62" t="s">
        <v>16</v>
      </c>
      <c r="H15" s="1" t="s">
        <v>16</v>
      </c>
      <c r="I15" s="62" t="s">
        <v>16</v>
      </c>
      <c r="J15" s="1" t="s">
        <v>13</v>
      </c>
      <c r="K15" s="62" t="s">
        <v>225</v>
      </c>
      <c r="L15" s="1">
        <v>100</v>
      </c>
      <c r="M15" s="93"/>
    </row>
    <row r="16" spans="1:13" ht="30">
      <c r="A16" s="1" t="s">
        <v>514</v>
      </c>
      <c r="B16" s="1" t="s">
        <v>515</v>
      </c>
      <c r="C16" s="1">
        <v>680</v>
      </c>
      <c r="D16" s="1" t="s">
        <v>282</v>
      </c>
      <c r="E16" s="62" t="s">
        <v>282</v>
      </c>
      <c r="F16" s="1" t="s">
        <v>516</v>
      </c>
      <c r="G16" s="62" t="s">
        <v>516</v>
      </c>
      <c r="H16" s="1" t="s">
        <v>517</v>
      </c>
      <c r="I16" s="62" t="s">
        <v>517</v>
      </c>
      <c r="J16" s="1" t="s">
        <v>518</v>
      </c>
      <c r="K16" s="62" t="s">
        <v>519</v>
      </c>
      <c r="L16" s="1">
        <v>100</v>
      </c>
      <c r="M16" s="93"/>
    </row>
    <row r="17" spans="12:12">
      <c r="L17" s="1">
        <f>SUBTOTAL(109,ReporteAvancePlanIndicativo314[Consolidado 2020 - 2023])/15</f>
        <v>91.817999999999998</v>
      </c>
    </row>
  </sheetData>
  <phoneticPr fontId="4" type="noConversion"/>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2143-E3C8-47A2-B2C7-F4D5167376D9}">
  <dimension ref="A1:W11"/>
  <sheetViews>
    <sheetView topLeftCell="F7" workbookViewId="0">
      <selection activeCell="P12" sqref="P12"/>
    </sheetView>
  </sheetViews>
  <sheetFormatPr baseColWidth="10" defaultColWidth="9.140625" defaultRowHeight="15"/>
  <cols>
    <col min="1" max="2" width="23.7109375" style="1" customWidth="1"/>
    <col min="3" max="6" width="12.28515625" style="1" customWidth="1"/>
    <col min="7" max="7" width="14.42578125" style="1" customWidth="1"/>
    <col min="8" max="11" width="12.28515625" style="1" customWidth="1"/>
    <col min="12" max="12" width="13.140625" style="1" customWidth="1"/>
    <col min="13" max="16" width="12.28515625" style="1" customWidth="1"/>
    <col min="17" max="17" width="13" style="1" customWidth="1"/>
    <col min="18" max="18" width="14.140625" style="1" customWidth="1"/>
    <col min="19" max="21" width="12.28515625" style="1" customWidth="1"/>
    <col min="22" max="22" width="13.42578125" style="1" customWidth="1"/>
    <col min="23" max="23" width="20.7109375" style="1" customWidth="1"/>
    <col min="24" max="24" width="12.28515625" style="1" customWidth="1"/>
    <col min="25" max="16384" width="9.140625" style="1"/>
  </cols>
  <sheetData>
    <row r="1" spans="1:23" s="5" customFormat="1" ht="30">
      <c r="A1" s="5" t="s">
        <v>566</v>
      </c>
      <c r="B1" s="5" t="s">
        <v>567</v>
      </c>
      <c r="C1" s="5" t="s">
        <v>568</v>
      </c>
      <c r="D1" s="5" t="s">
        <v>569</v>
      </c>
      <c r="E1" s="5" t="s">
        <v>570</v>
      </c>
      <c r="F1" s="5" t="s">
        <v>571</v>
      </c>
      <c r="G1" s="5" t="s">
        <v>572</v>
      </c>
      <c r="H1" s="5" t="s">
        <v>573</v>
      </c>
      <c r="I1" s="5" t="s">
        <v>574</v>
      </c>
      <c r="J1" s="5" t="s">
        <v>575</v>
      </c>
      <c r="K1" s="5" t="s">
        <v>576</v>
      </c>
      <c r="L1" s="5" t="s">
        <v>577</v>
      </c>
      <c r="M1" s="5" t="s">
        <v>578</v>
      </c>
      <c r="N1" s="5" t="s">
        <v>579</v>
      </c>
      <c r="O1" s="5" t="s">
        <v>580</v>
      </c>
      <c r="P1" s="5" t="s">
        <v>581</v>
      </c>
      <c r="Q1" s="5" t="s">
        <v>582</v>
      </c>
      <c r="R1" s="5" t="s">
        <v>583</v>
      </c>
      <c r="S1" s="5" t="s">
        <v>584</v>
      </c>
      <c r="T1" s="5" t="s">
        <v>585</v>
      </c>
      <c r="U1" s="5" t="s">
        <v>586</v>
      </c>
      <c r="V1" s="5" t="s">
        <v>587</v>
      </c>
      <c r="W1" s="5" t="s">
        <v>588</v>
      </c>
    </row>
    <row r="2" spans="1:23" ht="145.5" customHeight="1">
      <c r="A2" s="1" t="s">
        <v>426</v>
      </c>
      <c r="B2" s="1" t="s">
        <v>427</v>
      </c>
      <c r="C2" s="1">
        <v>5</v>
      </c>
      <c r="D2" s="1" t="s">
        <v>10</v>
      </c>
      <c r="E2" s="1" t="s">
        <v>11</v>
      </c>
      <c r="F2" s="1">
        <v>0</v>
      </c>
      <c r="I2" s="1" t="s">
        <v>10</v>
      </c>
      <c r="J2" s="1" t="s">
        <v>11</v>
      </c>
      <c r="K2" s="1">
        <v>0</v>
      </c>
      <c r="N2" s="1" t="s">
        <v>84</v>
      </c>
      <c r="O2" s="1" t="s">
        <v>212</v>
      </c>
      <c r="P2" s="1">
        <v>100</v>
      </c>
      <c r="Q2" s="1" t="s">
        <v>5</v>
      </c>
      <c r="R2" s="1" t="s">
        <v>428</v>
      </c>
      <c r="S2" s="1" t="s">
        <v>13</v>
      </c>
      <c r="T2" s="1" t="s">
        <v>24</v>
      </c>
      <c r="U2" s="1">
        <v>25</v>
      </c>
      <c r="V2" s="1" t="s">
        <v>14</v>
      </c>
      <c r="W2" s="1" t="s">
        <v>429</v>
      </c>
    </row>
    <row r="3" spans="1:23" ht="172.5" customHeight="1">
      <c r="A3" s="1" t="s">
        <v>185</v>
      </c>
      <c r="B3" s="1" t="s">
        <v>430</v>
      </c>
      <c r="C3" s="1">
        <v>1</v>
      </c>
      <c r="D3" s="1" t="s">
        <v>10</v>
      </c>
      <c r="E3" s="1" t="s">
        <v>11</v>
      </c>
      <c r="F3" s="1">
        <v>0</v>
      </c>
      <c r="I3" s="1" t="s">
        <v>10</v>
      </c>
      <c r="J3" s="1" t="s">
        <v>11</v>
      </c>
      <c r="K3" s="1">
        <v>0</v>
      </c>
      <c r="N3" s="1" t="s">
        <v>24</v>
      </c>
      <c r="O3" s="1" t="s">
        <v>16</v>
      </c>
      <c r="P3" s="1">
        <v>100</v>
      </c>
      <c r="Q3" s="1" t="s">
        <v>5</v>
      </c>
      <c r="S3" s="1" t="s">
        <v>24</v>
      </c>
      <c r="T3" s="1">
        <v>0.5</v>
      </c>
      <c r="U3" s="1">
        <v>100</v>
      </c>
      <c r="V3" s="1" t="s">
        <v>5</v>
      </c>
      <c r="W3" s="1" t="s">
        <v>599</v>
      </c>
    </row>
    <row r="4" spans="1:23" ht="108" customHeight="1">
      <c r="A4" s="1" t="s">
        <v>356</v>
      </c>
      <c r="B4" s="1" t="s">
        <v>76</v>
      </c>
      <c r="C4" s="1">
        <v>5</v>
      </c>
      <c r="D4" s="1" t="s">
        <v>10</v>
      </c>
      <c r="E4" s="1" t="s">
        <v>11</v>
      </c>
      <c r="F4" s="1">
        <v>0</v>
      </c>
      <c r="I4" s="1" t="s">
        <v>84</v>
      </c>
      <c r="J4" s="1" t="s">
        <v>13</v>
      </c>
      <c r="K4" s="1">
        <v>66.67</v>
      </c>
      <c r="L4" s="1" t="s">
        <v>59</v>
      </c>
      <c r="N4" s="1" t="s">
        <v>10</v>
      </c>
      <c r="O4" s="1" t="s">
        <v>11</v>
      </c>
      <c r="P4" s="1">
        <v>0</v>
      </c>
      <c r="S4" s="1" t="s">
        <v>13</v>
      </c>
      <c r="T4" s="1">
        <v>1</v>
      </c>
      <c r="U4" s="1">
        <v>50</v>
      </c>
      <c r="V4" s="1" t="s">
        <v>18</v>
      </c>
      <c r="W4" s="1" t="s">
        <v>431</v>
      </c>
    </row>
    <row r="5" spans="1:23" ht="103.5" customHeight="1">
      <c r="A5" s="1" t="s">
        <v>432</v>
      </c>
      <c r="B5" s="1" t="s">
        <v>433</v>
      </c>
      <c r="C5" s="1">
        <v>8500</v>
      </c>
      <c r="D5" s="1" t="s">
        <v>434</v>
      </c>
      <c r="E5" s="1" t="s">
        <v>434</v>
      </c>
      <c r="F5" s="1">
        <v>100</v>
      </c>
      <c r="G5" s="1" t="s">
        <v>5</v>
      </c>
      <c r="H5" s="1" t="s">
        <v>435</v>
      </c>
      <c r="I5" s="1" t="s">
        <v>434</v>
      </c>
      <c r="J5" s="1" t="s">
        <v>434</v>
      </c>
      <c r="K5" s="1">
        <v>100</v>
      </c>
      <c r="L5" s="1" t="s">
        <v>5</v>
      </c>
      <c r="N5" s="1" t="s">
        <v>434</v>
      </c>
      <c r="O5" s="1" t="s">
        <v>434</v>
      </c>
      <c r="P5" s="1">
        <v>100</v>
      </c>
      <c r="Q5" s="1" t="s">
        <v>5</v>
      </c>
      <c r="R5" s="1" t="s">
        <v>436</v>
      </c>
      <c r="S5" s="1" t="s">
        <v>434</v>
      </c>
      <c r="T5" s="1">
        <v>110420</v>
      </c>
      <c r="U5" s="1">
        <v>100</v>
      </c>
      <c r="V5" s="1" t="s">
        <v>5</v>
      </c>
      <c r="W5" s="1" t="s">
        <v>140</v>
      </c>
    </row>
    <row r="6" spans="1:23" ht="45">
      <c r="A6" s="1" t="s">
        <v>446</v>
      </c>
      <c r="B6" s="1" t="s">
        <v>447</v>
      </c>
      <c r="C6" s="1">
        <v>1</v>
      </c>
      <c r="D6" s="1" t="s">
        <v>16</v>
      </c>
      <c r="E6" s="1" t="s">
        <v>16</v>
      </c>
      <c r="F6" s="1">
        <v>100</v>
      </c>
      <c r="G6" s="1" t="s">
        <v>5</v>
      </c>
      <c r="I6" s="1" t="s">
        <v>16</v>
      </c>
      <c r="J6" s="1" t="s">
        <v>16</v>
      </c>
      <c r="K6" s="1">
        <v>100</v>
      </c>
      <c r="L6" s="1" t="s">
        <v>5</v>
      </c>
      <c r="N6" s="1" t="s">
        <v>16</v>
      </c>
      <c r="O6" s="1" t="s">
        <v>330</v>
      </c>
      <c r="P6" s="1">
        <v>80</v>
      </c>
      <c r="Q6" s="1" t="s">
        <v>108</v>
      </c>
      <c r="S6" s="1" t="s">
        <v>16</v>
      </c>
      <c r="T6" s="1" t="s">
        <v>16</v>
      </c>
      <c r="U6" s="1">
        <v>100</v>
      </c>
      <c r="V6" s="1" t="s">
        <v>5</v>
      </c>
      <c r="W6" s="1" t="s">
        <v>140</v>
      </c>
    </row>
    <row r="7" spans="1:23" ht="153.75" customHeight="1">
      <c r="A7" s="1" t="s">
        <v>448</v>
      </c>
      <c r="B7" s="1" t="s">
        <v>449</v>
      </c>
      <c r="C7" s="1">
        <v>1</v>
      </c>
      <c r="D7" s="1" t="s">
        <v>16</v>
      </c>
      <c r="E7" s="1" t="s">
        <v>11</v>
      </c>
      <c r="F7" s="1">
        <v>0</v>
      </c>
      <c r="G7" s="1" t="s">
        <v>14</v>
      </c>
      <c r="I7" s="1" t="s">
        <v>10</v>
      </c>
      <c r="J7" s="1" t="s">
        <v>11</v>
      </c>
      <c r="K7" s="1">
        <v>0</v>
      </c>
      <c r="N7" s="1" t="s">
        <v>10</v>
      </c>
      <c r="O7" s="1" t="s">
        <v>11</v>
      </c>
      <c r="P7" s="1">
        <v>0</v>
      </c>
      <c r="S7" s="1" t="s">
        <v>10</v>
      </c>
      <c r="T7" s="1" t="s">
        <v>13</v>
      </c>
      <c r="U7" s="1">
        <v>0</v>
      </c>
      <c r="W7" s="1" t="s">
        <v>450</v>
      </c>
    </row>
    <row r="8" spans="1:23" ht="157.5" customHeight="1">
      <c r="A8" s="1" t="s">
        <v>451</v>
      </c>
      <c r="B8" s="1" t="s">
        <v>452</v>
      </c>
      <c r="C8" s="1">
        <v>100</v>
      </c>
      <c r="D8" s="1" t="s">
        <v>56</v>
      </c>
      <c r="E8" s="1" t="s">
        <v>172</v>
      </c>
      <c r="F8" s="1">
        <v>50</v>
      </c>
      <c r="G8" s="1" t="s">
        <v>18</v>
      </c>
      <c r="I8" s="1" t="s">
        <v>222</v>
      </c>
      <c r="J8" s="1" t="s">
        <v>22</v>
      </c>
      <c r="K8" s="1">
        <v>83.33</v>
      </c>
      <c r="L8" s="1" t="s">
        <v>5</v>
      </c>
      <c r="N8" s="1" t="s">
        <v>42</v>
      </c>
      <c r="O8" s="1" t="s">
        <v>222</v>
      </c>
      <c r="P8" s="1">
        <v>75</v>
      </c>
      <c r="Q8" s="1" t="s">
        <v>108</v>
      </c>
      <c r="S8" s="1" t="s">
        <v>92</v>
      </c>
      <c r="T8" s="1">
        <v>17</v>
      </c>
      <c r="U8" s="1">
        <v>85</v>
      </c>
      <c r="V8" s="1" t="s">
        <v>108</v>
      </c>
      <c r="W8" s="1" t="s">
        <v>600</v>
      </c>
    </row>
    <row r="9" spans="1:23" ht="75">
      <c r="A9" s="1" t="s">
        <v>185</v>
      </c>
      <c r="B9" s="1" t="s">
        <v>453</v>
      </c>
      <c r="C9" s="1">
        <v>2</v>
      </c>
      <c r="D9" s="1" t="s">
        <v>13</v>
      </c>
      <c r="E9" s="1" t="s">
        <v>13</v>
      </c>
      <c r="F9" s="1">
        <v>100</v>
      </c>
      <c r="G9" s="1" t="s">
        <v>5</v>
      </c>
      <c r="I9" s="1" t="s">
        <v>13</v>
      </c>
      <c r="J9" s="1" t="s">
        <v>13</v>
      </c>
      <c r="K9" s="1">
        <v>100</v>
      </c>
      <c r="L9" s="1" t="s">
        <v>5</v>
      </c>
      <c r="N9" s="1" t="s">
        <v>13</v>
      </c>
      <c r="O9" s="1" t="s">
        <v>13</v>
      </c>
      <c r="P9" s="1">
        <v>100</v>
      </c>
      <c r="Q9" s="1" t="s">
        <v>5</v>
      </c>
      <c r="S9" s="1" t="s">
        <v>13</v>
      </c>
      <c r="T9" s="1">
        <v>2</v>
      </c>
      <c r="U9" s="1">
        <v>100</v>
      </c>
      <c r="V9" s="1" t="s">
        <v>5</v>
      </c>
    </row>
    <row r="10" spans="1:23" ht="75">
      <c r="A10" s="1" t="s">
        <v>454</v>
      </c>
      <c r="B10" s="1" t="s">
        <v>455</v>
      </c>
      <c r="C10" s="1">
        <v>1</v>
      </c>
      <c r="D10" s="1" t="s">
        <v>16</v>
      </c>
      <c r="E10" s="1" t="s">
        <v>16</v>
      </c>
      <c r="F10" s="1">
        <v>100</v>
      </c>
      <c r="G10" s="1" t="s">
        <v>5</v>
      </c>
      <c r="I10" s="1" t="s">
        <v>16</v>
      </c>
      <c r="J10" s="1" t="s">
        <v>16</v>
      </c>
      <c r="K10" s="1">
        <v>100</v>
      </c>
      <c r="L10" s="1" t="s">
        <v>5</v>
      </c>
      <c r="N10" s="1" t="s">
        <v>16</v>
      </c>
      <c r="O10" s="1" t="s">
        <v>16</v>
      </c>
      <c r="P10" s="1">
        <v>100</v>
      </c>
      <c r="Q10" s="1" t="s">
        <v>5</v>
      </c>
      <c r="S10" s="1" t="s">
        <v>16</v>
      </c>
      <c r="T10" s="1">
        <v>1</v>
      </c>
      <c r="U10" s="1">
        <v>100</v>
      </c>
      <c r="V10" s="1" t="s">
        <v>5</v>
      </c>
    </row>
    <row r="11" spans="1:23">
      <c r="F11" s="1">
        <f>SUBTOTAL(109,ReporteAvancePlanIndicativo3141828[% Avance 2020])/6</f>
        <v>75</v>
      </c>
      <c r="K11" s="1">
        <f>SUBTOTAL(109,ReporteAvancePlanIndicativo3141828[% Avance 2021])/6</f>
        <v>91.666666666666671</v>
      </c>
      <c r="P11" s="1">
        <f>SUBTOTAL(109,ReporteAvancePlanIndicativo3141828[% Avance 2022])/8</f>
        <v>81.875</v>
      </c>
      <c r="U11" s="1">
        <f>SUBTOTAL(109,ReporteAvancePlanIndicativo3141828[% Avance 2023])/8</f>
        <v>82.5</v>
      </c>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
  <sheetViews>
    <sheetView topLeftCell="A3" workbookViewId="0">
      <selection activeCell="P9" sqref="P9"/>
    </sheetView>
  </sheetViews>
  <sheetFormatPr baseColWidth="10" defaultColWidth="9.140625" defaultRowHeight="15"/>
  <cols>
    <col min="1" max="2" width="23.7109375" style="1" customWidth="1"/>
    <col min="3" max="11" width="12.28515625" style="1" customWidth="1"/>
    <col min="12" max="12" width="16" style="1" customWidth="1"/>
    <col min="13" max="16384" width="9.140625" style="1"/>
  </cols>
  <sheetData>
    <row r="1" spans="1:13" s="5" customFormat="1" ht="30">
      <c r="A1" s="5" t="s">
        <v>566</v>
      </c>
      <c r="B1" s="5" t="s">
        <v>567</v>
      </c>
      <c r="C1" s="5" t="s">
        <v>568</v>
      </c>
      <c r="D1" s="5" t="s">
        <v>569</v>
      </c>
      <c r="E1" s="5" t="s">
        <v>570</v>
      </c>
      <c r="F1" s="5" t="s">
        <v>574</v>
      </c>
      <c r="G1" s="5" t="s">
        <v>575</v>
      </c>
      <c r="H1" s="5" t="s">
        <v>579</v>
      </c>
      <c r="I1" s="5" t="s">
        <v>580</v>
      </c>
      <c r="J1" s="5" t="s">
        <v>584</v>
      </c>
      <c r="K1" s="5" t="s">
        <v>585</v>
      </c>
      <c r="L1" s="5" t="s">
        <v>645</v>
      </c>
      <c r="M1" s="5" t="s">
        <v>649</v>
      </c>
    </row>
    <row r="2" spans="1:13" ht="66.75" customHeight="1">
      <c r="A2" s="1" t="s">
        <v>426</v>
      </c>
      <c r="B2" s="1" t="s">
        <v>427</v>
      </c>
      <c r="C2" s="1">
        <v>5</v>
      </c>
      <c r="D2" s="1" t="s">
        <v>10</v>
      </c>
      <c r="E2" s="62" t="s">
        <v>11</v>
      </c>
      <c r="F2" s="1" t="s">
        <v>10</v>
      </c>
      <c r="G2" s="62" t="s">
        <v>11</v>
      </c>
      <c r="H2" s="1" t="s">
        <v>84</v>
      </c>
      <c r="I2" s="62" t="s">
        <v>212</v>
      </c>
      <c r="J2" s="1" t="s">
        <v>13</v>
      </c>
      <c r="K2" s="62" t="s">
        <v>24</v>
      </c>
      <c r="L2" s="1">
        <v>90</v>
      </c>
      <c r="M2" s="93"/>
    </row>
    <row r="3" spans="1:13" ht="55.5" customHeight="1">
      <c r="A3" s="1" t="s">
        <v>185</v>
      </c>
      <c r="B3" s="1" t="s">
        <v>430</v>
      </c>
      <c r="C3" s="1">
        <v>1</v>
      </c>
      <c r="D3" s="1" t="s">
        <v>10</v>
      </c>
      <c r="E3" s="62" t="s">
        <v>11</v>
      </c>
      <c r="F3" s="1" t="s">
        <v>10</v>
      </c>
      <c r="G3" s="62" t="s">
        <v>11</v>
      </c>
      <c r="H3" s="1" t="s">
        <v>24</v>
      </c>
      <c r="I3" s="62" t="s">
        <v>16</v>
      </c>
      <c r="J3" s="1" t="s">
        <v>24</v>
      </c>
      <c r="K3" s="62">
        <v>0.5</v>
      </c>
      <c r="L3" s="1">
        <v>100</v>
      </c>
      <c r="M3" s="93"/>
    </row>
    <row r="4" spans="1:13" ht="51.75" customHeight="1">
      <c r="A4" s="1" t="s">
        <v>356</v>
      </c>
      <c r="B4" s="1" t="s">
        <v>76</v>
      </c>
      <c r="C4" s="1">
        <v>5</v>
      </c>
      <c r="D4" s="1" t="s">
        <v>10</v>
      </c>
      <c r="E4" s="62" t="s">
        <v>11</v>
      </c>
      <c r="F4" s="1" t="s">
        <v>84</v>
      </c>
      <c r="G4" s="62" t="s">
        <v>13</v>
      </c>
      <c r="H4" s="1" t="s">
        <v>10</v>
      </c>
      <c r="I4" s="62" t="s">
        <v>11</v>
      </c>
      <c r="J4" s="1" t="s">
        <v>13</v>
      </c>
      <c r="K4" s="62">
        <v>1</v>
      </c>
      <c r="L4" s="1">
        <v>60</v>
      </c>
      <c r="M4" s="94"/>
    </row>
    <row r="5" spans="1:13" ht="53.25" customHeight="1">
      <c r="A5" s="1" t="s">
        <v>432</v>
      </c>
      <c r="B5" s="1" t="s">
        <v>433</v>
      </c>
      <c r="C5" s="1">
        <v>8500</v>
      </c>
      <c r="D5" s="1" t="s">
        <v>434</v>
      </c>
      <c r="E5" s="62" t="s">
        <v>434</v>
      </c>
      <c r="F5" s="1" t="s">
        <v>434</v>
      </c>
      <c r="G5" s="62" t="s">
        <v>434</v>
      </c>
      <c r="H5" s="1" t="s">
        <v>434</v>
      </c>
      <c r="I5" s="62" t="s">
        <v>434</v>
      </c>
      <c r="J5" s="1" t="s">
        <v>434</v>
      </c>
      <c r="K5" s="62">
        <v>110420</v>
      </c>
      <c r="L5" s="1">
        <v>100</v>
      </c>
      <c r="M5" s="93"/>
    </row>
    <row r="6" spans="1:13" ht="45">
      <c r="A6" s="1" t="s">
        <v>446</v>
      </c>
      <c r="B6" s="1" t="s">
        <v>447</v>
      </c>
      <c r="C6" s="1">
        <v>1</v>
      </c>
      <c r="D6" s="1" t="s">
        <v>16</v>
      </c>
      <c r="E6" s="62" t="s">
        <v>16</v>
      </c>
      <c r="F6" s="1" t="s">
        <v>16</v>
      </c>
      <c r="G6" s="62" t="s">
        <v>16</v>
      </c>
      <c r="H6" s="1" t="s">
        <v>16</v>
      </c>
      <c r="I6" s="62" t="s">
        <v>330</v>
      </c>
      <c r="J6" s="1" t="s">
        <v>16</v>
      </c>
      <c r="K6" s="62" t="s">
        <v>16</v>
      </c>
      <c r="L6" s="1">
        <v>100</v>
      </c>
      <c r="M6" s="93"/>
    </row>
    <row r="7" spans="1:13" ht="51" customHeight="1">
      <c r="A7" s="1" t="s">
        <v>448</v>
      </c>
      <c r="B7" s="1" t="s">
        <v>449</v>
      </c>
      <c r="C7" s="1">
        <v>1</v>
      </c>
      <c r="D7" s="1" t="s">
        <v>16</v>
      </c>
      <c r="E7" s="62" t="s">
        <v>11</v>
      </c>
      <c r="F7" s="1" t="s">
        <v>10</v>
      </c>
      <c r="G7" s="62" t="s">
        <v>11</v>
      </c>
      <c r="H7" s="1" t="s">
        <v>10</v>
      </c>
      <c r="I7" s="62" t="s">
        <v>11</v>
      </c>
      <c r="J7" s="1" t="s">
        <v>10</v>
      </c>
      <c r="K7" s="62" t="s">
        <v>13</v>
      </c>
      <c r="L7" s="1">
        <v>100</v>
      </c>
      <c r="M7" s="93"/>
    </row>
    <row r="8" spans="1:13" ht="63" customHeight="1">
      <c r="A8" s="1" t="s">
        <v>451</v>
      </c>
      <c r="B8" s="1" t="s">
        <v>452</v>
      </c>
      <c r="C8" s="1">
        <v>100</v>
      </c>
      <c r="D8" s="1" t="s">
        <v>56</v>
      </c>
      <c r="E8" s="62" t="s">
        <v>172</v>
      </c>
      <c r="F8" s="1" t="s">
        <v>222</v>
      </c>
      <c r="G8" s="62" t="s">
        <v>22</v>
      </c>
      <c r="H8" s="1" t="s">
        <v>42</v>
      </c>
      <c r="I8" s="62" t="s">
        <v>222</v>
      </c>
      <c r="J8" s="1" t="s">
        <v>92</v>
      </c>
      <c r="K8" s="62">
        <v>17</v>
      </c>
      <c r="L8" s="1">
        <v>77</v>
      </c>
      <c r="M8" s="96"/>
    </row>
    <row r="9" spans="1:13" ht="75">
      <c r="A9" s="1" t="s">
        <v>185</v>
      </c>
      <c r="B9" s="1" t="s">
        <v>453</v>
      </c>
      <c r="C9" s="1">
        <v>2</v>
      </c>
      <c r="D9" s="1" t="s">
        <v>13</v>
      </c>
      <c r="E9" s="62" t="s">
        <v>13</v>
      </c>
      <c r="F9" s="1" t="s">
        <v>13</v>
      </c>
      <c r="G9" s="62" t="s">
        <v>13</v>
      </c>
      <c r="H9" s="1" t="s">
        <v>13</v>
      </c>
      <c r="I9" s="62" t="s">
        <v>13</v>
      </c>
      <c r="J9" s="1" t="s">
        <v>13</v>
      </c>
      <c r="K9" s="62">
        <v>2</v>
      </c>
      <c r="L9" s="1">
        <v>100</v>
      </c>
      <c r="M9" s="93"/>
    </row>
    <row r="10" spans="1:13" ht="75">
      <c r="A10" s="1" t="s">
        <v>454</v>
      </c>
      <c r="B10" s="1" t="s">
        <v>455</v>
      </c>
      <c r="C10" s="1">
        <v>1</v>
      </c>
      <c r="D10" s="1" t="s">
        <v>16</v>
      </c>
      <c r="E10" s="62" t="s">
        <v>16</v>
      </c>
      <c r="F10" s="1" t="s">
        <v>16</v>
      </c>
      <c r="G10" s="62" t="s">
        <v>16</v>
      </c>
      <c r="H10" s="1" t="s">
        <v>16</v>
      </c>
      <c r="I10" s="62" t="s">
        <v>16</v>
      </c>
      <c r="J10" s="1" t="s">
        <v>16</v>
      </c>
      <c r="K10" s="62">
        <v>1</v>
      </c>
      <c r="L10" s="1">
        <v>100</v>
      </c>
      <c r="M10" s="93"/>
    </row>
    <row r="11" spans="1:13">
      <c r="L11" s="1">
        <f>SUBTOTAL(109,ReporteAvancePlanIndicativo31418[Consolidado 2020 2023*])/9</f>
        <v>91.888888888888886</v>
      </c>
    </row>
  </sheetData>
  <phoneticPr fontId="4" type="noConversion"/>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ADEF-2D5D-40E8-8E7D-6BEAC15FCCAA}">
  <dimension ref="A1:W8"/>
  <sheetViews>
    <sheetView workbookViewId="0">
      <selection activeCell="P8" sqref="P8"/>
    </sheetView>
  </sheetViews>
  <sheetFormatPr baseColWidth="10" defaultColWidth="9.140625" defaultRowHeight="15"/>
  <cols>
    <col min="1" max="2" width="28.28515625" style="1" customWidth="1"/>
    <col min="3" max="6" width="12" style="1" customWidth="1"/>
    <col min="7" max="7" width="14.140625" style="1" customWidth="1"/>
    <col min="8" max="11" width="12" style="1" customWidth="1"/>
    <col min="12" max="12" width="13.140625" style="1" customWidth="1"/>
    <col min="13" max="16" width="12" style="1" customWidth="1"/>
    <col min="17" max="17" width="13.42578125" style="1" customWidth="1"/>
    <col min="18" max="18" width="14.5703125" style="1" customWidth="1"/>
    <col min="19" max="21" width="12" style="1" customWidth="1"/>
    <col min="22" max="22" width="13.28515625" style="1" customWidth="1"/>
    <col min="23" max="23" width="14.140625" style="1" customWidth="1"/>
    <col min="24" max="24" width="12" style="1" customWidth="1"/>
    <col min="25" max="16384" width="9.140625" style="1"/>
  </cols>
  <sheetData>
    <row r="1" spans="1:23" s="5" customFormat="1" ht="30">
      <c r="A1" s="5" t="s">
        <v>566</v>
      </c>
      <c r="B1" s="5" t="s">
        <v>567</v>
      </c>
      <c r="C1" s="5" t="s">
        <v>568</v>
      </c>
      <c r="D1" s="5" t="s">
        <v>569</v>
      </c>
      <c r="E1" s="5" t="s">
        <v>570</v>
      </c>
      <c r="F1" s="5" t="s">
        <v>571</v>
      </c>
      <c r="G1" s="5" t="s">
        <v>572</v>
      </c>
      <c r="H1" s="5" t="s">
        <v>573</v>
      </c>
      <c r="I1" s="5" t="s">
        <v>574</v>
      </c>
      <c r="J1" s="5" t="s">
        <v>575</v>
      </c>
      <c r="K1" s="5" t="s">
        <v>576</v>
      </c>
      <c r="L1" s="5" t="s">
        <v>577</v>
      </c>
      <c r="M1" s="5" t="s">
        <v>578</v>
      </c>
      <c r="N1" s="5" t="s">
        <v>579</v>
      </c>
      <c r="O1" s="5" t="s">
        <v>580</v>
      </c>
      <c r="P1" s="5" t="s">
        <v>581</v>
      </c>
      <c r="Q1" s="5" t="s">
        <v>582</v>
      </c>
      <c r="R1" s="5" t="s">
        <v>583</v>
      </c>
      <c r="S1" s="5" t="s">
        <v>584</v>
      </c>
      <c r="T1" s="5" t="s">
        <v>585</v>
      </c>
      <c r="U1" s="5" t="s">
        <v>586</v>
      </c>
      <c r="V1" s="5" t="s">
        <v>587</v>
      </c>
      <c r="W1" s="5" t="s">
        <v>588</v>
      </c>
    </row>
    <row r="2" spans="1:23" ht="30">
      <c r="A2" s="1" t="s">
        <v>456</v>
      </c>
      <c r="B2" s="1" t="s">
        <v>457</v>
      </c>
      <c r="C2" s="1">
        <v>4</v>
      </c>
      <c r="D2" s="1" t="s">
        <v>16</v>
      </c>
      <c r="E2" s="1" t="s">
        <v>16</v>
      </c>
      <c r="F2" s="1">
        <v>100</v>
      </c>
      <c r="G2" s="1" t="s">
        <v>5</v>
      </c>
      <c r="I2" s="1" t="s">
        <v>24</v>
      </c>
      <c r="J2" s="1" t="s">
        <v>24</v>
      </c>
      <c r="K2" s="1">
        <v>100</v>
      </c>
      <c r="L2" s="1" t="s">
        <v>5</v>
      </c>
      <c r="N2" s="1" t="s">
        <v>16</v>
      </c>
      <c r="O2" s="1" t="s">
        <v>158</v>
      </c>
      <c r="P2" s="1" t="s">
        <v>4</v>
      </c>
      <c r="Q2" s="1" t="s">
        <v>5</v>
      </c>
      <c r="S2" s="1" t="s">
        <v>225</v>
      </c>
      <c r="T2" s="1" t="s">
        <v>13</v>
      </c>
      <c r="U2" s="1">
        <v>1.67</v>
      </c>
      <c r="V2" s="1" t="s">
        <v>5</v>
      </c>
    </row>
    <row r="3" spans="1:23" ht="45">
      <c r="A3" s="1" t="s">
        <v>458</v>
      </c>
      <c r="B3" s="1" t="s">
        <v>459</v>
      </c>
      <c r="C3" s="1">
        <v>4</v>
      </c>
      <c r="D3" s="1" t="s">
        <v>16</v>
      </c>
      <c r="E3" s="1" t="s">
        <v>11</v>
      </c>
      <c r="F3" s="1">
        <v>0</v>
      </c>
      <c r="G3" s="1" t="s">
        <v>14</v>
      </c>
      <c r="I3" s="1" t="s">
        <v>225</v>
      </c>
      <c r="J3" s="1" t="s">
        <v>225</v>
      </c>
      <c r="K3" s="1">
        <v>100</v>
      </c>
      <c r="L3" s="1" t="s">
        <v>5</v>
      </c>
      <c r="N3" s="1" t="s">
        <v>16</v>
      </c>
      <c r="O3" s="1" t="s">
        <v>16</v>
      </c>
      <c r="P3" s="1" t="s">
        <v>4</v>
      </c>
      <c r="Q3" s="1" t="s">
        <v>5</v>
      </c>
      <c r="S3" s="1" t="s">
        <v>24</v>
      </c>
      <c r="T3" s="1">
        <v>0.43</v>
      </c>
      <c r="U3" s="1">
        <v>98.25</v>
      </c>
      <c r="V3" s="1" t="s">
        <v>108</v>
      </c>
    </row>
    <row r="4" spans="1:23" ht="75">
      <c r="A4" s="1" t="s">
        <v>356</v>
      </c>
      <c r="B4" s="1" t="s">
        <v>460</v>
      </c>
      <c r="C4" s="1">
        <v>4</v>
      </c>
      <c r="D4" s="1" t="s">
        <v>16</v>
      </c>
      <c r="E4" s="1" t="s">
        <v>11</v>
      </c>
      <c r="F4" s="1">
        <v>0</v>
      </c>
      <c r="G4" s="1" t="s">
        <v>14</v>
      </c>
      <c r="I4" s="1" t="s">
        <v>16</v>
      </c>
      <c r="J4" s="1" t="s">
        <v>16</v>
      </c>
      <c r="K4" s="1">
        <v>100</v>
      </c>
      <c r="L4" s="1" t="s">
        <v>5</v>
      </c>
      <c r="N4" s="1" t="s">
        <v>16</v>
      </c>
      <c r="O4" s="1" t="s">
        <v>16</v>
      </c>
      <c r="P4" s="1" t="s">
        <v>4</v>
      </c>
      <c r="Q4" s="1" t="s">
        <v>5</v>
      </c>
      <c r="S4" s="1" t="s">
        <v>16</v>
      </c>
      <c r="T4" s="1">
        <v>1</v>
      </c>
      <c r="U4" s="1">
        <v>100</v>
      </c>
      <c r="V4" s="1" t="s">
        <v>5</v>
      </c>
    </row>
    <row r="5" spans="1:23" ht="78.75" customHeight="1">
      <c r="A5" s="1" t="s">
        <v>424</v>
      </c>
      <c r="B5" s="1" t="s">
        <v>461</v>
      </c>
      <c r="C5" s="1">
        <v>2</v>
      </c>
      <c r="D5" s="1" t="s">
        <v>10</v>
      </c>
      <c r="E5" s="1" t="s">
        <v>11</v>
      </c>
      <c r="F5" s="1">
        <v>0</v>
      </c>
      <c r="I5" s="1" t="s">
        <v>16</v>
      </c>
      <c r="J5" s="1" t="s">
        <v>16</v>
      </c>
      <c r="K5" s="1">
        <v>100</v>
      </c>
      <c r="L5" s="1" t="s">
        <v>5</v>
      </c>
      <c r="N5" s="1" t="s">
        <v>16</v>
      </c>
      <c r="O5" s="1" t="s">
        <v>16</v>
      </c>
      <c r="P5" s="1" t="s">
        <v>4</v>
      </c>
      <c r="Q5" s="1" t="s">
        <v>5</v>
      </c>
      <c r="R5" s="1" t="s">
        <v>462</v>
      </c>
      <c r="S5" s="1" t="s">
        <v>10</v>
      </c>
      <c r="T5" s="1" t="s">
        <v>11</v>
      </c>
      <c r="U5" s="1">
        <v>0</v>
      </c>
    </row>
    <row r="6" spans="1:23" ht="70.5" customHeight="1">
      <c r="A6" s="1" t="s">
        <v>463</v>
      </c>
      <c r="B6" s="1" t="s">
        <v>464</v>
      </c>
      <c r="C6" s="1">
        <v>1</v>
      </c>
      <c r="D6" s="1" t="s">
        <v>10</v>
      </c>
      <c r="E6" s="1" t="s">
        <v>11</v>
      </c>
      <c r="F6" s="1">
        <v>0</v>
      </c>
      <c r="I6" s="1" t="s">
        <v>91</v>
      </c>
      <c r="J6" s="1" t="s">
        <v>77</v>
      </c>
      <c r="K6" s="1">
        <v>80</v>
      </c>
      <c r="L6" s="1" t="s">
        <v>108</v>
      </c>
      <c r="N6" s="1" t="s">
        <v>91</v>
      </c>
      <c r="O6" s="1" t="s">
        <v>330</v>
      </c>
      <c r="P6" s="1" t="s">
        <v>4</v>
      </c>
      <c r="Q6" s="1" t="s">
        <v>5</v>
      </c>
      <c r="S6" s="1" t="s">
        <v>24</v>
      </c>
      <c r="T6" s="1" t="s">
        <v>24</v>
      </c>
      <c r="U6" s="1">
        <v>100</v>
      </c>
      <c r="V6" s="1" t="s">
        <v>5</v>
      </c>
      <c r="W6" s="1" t="s">
        <v>465</v>
      </c>
    </row>
    <row r="7" spans="1:23" ht="45">
      <c r="A7" s="1" t="s">
        <v>466</v>
      </c>
      <c r="B7" s="1" t="s">
        <v>467</v>
      </c>
      <c r="C7" s="1">
        <v>4</v>
      </c>
      <c r="D7" s="1" t="s">
        <v>16</v>
      </c>
      <c r="E7" s="1" t="s">
        <v>11</v>
      </c>
      <c r="F7" s="1">
        <v>0</v>
      </c>
      <c r="G7" s="1" t="s">
        <v>14</v>
      </c>
      <c r="I7" s="1" t="s">
        <v>16</v>
      </c>
      <c r="J7" s="1" t="s">
        <v>16</v>
      </c>
      <c r="K7" s="1">
        <v>100</v>
      </c>
      <c r="L7" s="1" t="s">
        <v>5</v>
      </c>
      <c r="N7" s="1" t="s">
        <v>16</v>
      </c>
      <c r="O7" s="1" t="s">
        <v>13</v>
      </c>
      <c r="P7" s="1" t="s">
        <v>4</v>
      </c>
      <c r="Q7" s="1" t="s">
        <v>5</v>
      </c>
      <c r="S7" s="1" t="s">
        <v>16</v>
      </c>
      <c r="T7" s="1">
        <v>83.33</v>
      </c>
      <c r="U7" s="1">
        <v>95.83</v>
      </c>
      <c r="V7" s="1" t="s">
        <v>5</v>
      </c>
    </row>
    <row r="8" spans="1:23">
      <c r="F8" s="1">
        <f>SUBTOTAL(109,ReporteAvancePlanIndicativo31629[% Avance 2020])/4</f>
        <v>25</v>
      </c>
      <c r="K8" s="1">
        <f>SUBTOTAL(109,ReporteAvancePlanIndicativo31629[% Avance 2021])/6</f>
        <v>96.666666666666671</v>
      </c>
      <c r="U8" s="1">
        <f>SUBTOTAL(109,ReporteAvancePlanIndicativo31629[% Avance 2023])/5</f>
        <v>79.150000000000006</v>
      </c>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
  <sheetViews>
    <sheetView workbookViewId="0">
      <selection sqref="A1:M7"/>
    </sheetView>
  </sheetViews>
  <sheetFormatPr baseColWidth="10" defaultColWidth="9.140625" defaultRowHeight="15"/>
  <cols>
    <col min="1" max="2" width="28.28515625" style="1" customWidth="1"/>
    <col min="3" max="11" width="12" style="1" customWidth="1"/>
    <col min="12" max="12" width="14.42578125" style="1" customWidth="1"/>
    <col min="13" max="16384" width="9.140625" style="1"/>
  </cols>
  <sheetData>
    <row r="1" spans="1:13" s="5" customFormat="1" ht="30">
      <c r="A1" s="5" t="s">
        <v>566</v>
      </c>
      <c r="B1" s="5" t="s">
        <v>567</v>
      </c>
      <c r="C1" s="5" t="s">
        <v>568</v>
      </c>
      <c r="D1" s="5" t="s">
        <v>569</v>
      </c>
      <c r="E1" s="5" t="s">
        <v>570</v>
      </c>
      <c r="F1" s="5" t="s">
        <v>574</v>
      </c>
      <c r="G1" s="5" t="s">
        <v>575</v>
      </c>
      <c r="H1" s="5" t="s">
        <v>579</v>
      </c>
      <c r="I1" s="5" t="s">
        <v>580</v>
      </c>
      <c r="J1" s="5" t="s">
        <v>584</v>
      </c>
      <c r="K1" s="5" t="s">
        <v>585</v>
      </c>
      <c r="L1" s="5" t="s">
        <v>643</v>
      </c>
      <c r="M1" s="5" t="s">
        <v>649</v>
      </c>
    </row>
    <row r="2" spans="1:13" ht="30">
      <c r="A2" s="1" t="s">
        <v>456</v>
      </c>
      <c r="B2" s="1" t="s">
        <v>457</v>
      </c>
      <c r="C2" s="1">
        <v>4</v>
      </c>
      <c r="D2" s="1" t="s">
        <v>16</v>
      </c>
      <c r="E2" s="62" t="s">
        <v>16</v>
      </c>
      <c r="F2" s="1" t="s">
        <v>24</v>
      </c>
      <c r="G2" s="62" t="s">
        <v>24</v>
      </c>
      <c r="H2" s="1" t="s">
        <v>16</v>
      </c>
      <c r="I2" s="62" t="s">
        <v>158</v>
      </c>
      <c r="J2" s="1" t="s">
        <v>225</v>
      </c>
      <c r="K2" s="62" t="s">
        <v>13</v>
      </c>
      <c r="L2" s="1">
        <v>100</v>
      </c>
      <c r="M2" s="93"/>
    </row>
    <row r="3" spans="1:13" ht="45">
      <c r="A3" s="1" t="s">
        <v>458</v>
      </c>
      <c r="B3" s="1" t="s">
        <v>459</v>
      </c>
      <c r="C3" s="1">
        <v>4</v>
      </c>
      <c r="D3" s="1" t="s">
        <v>16</v>
      </c>
      <c r="E3" s="62" t="s">
        <v>11</v>
      </c>
      <c r="F3" s="1" t="s">
        <v>225</v>
      </c>
      <c r="G3" s="62" t="s">
        <v>225</v>
      </c>
      <c r="H3" s="1" t="s">
        <v>16</v>
      </c>
      <c r="I3" s="62" t="s">
        <v>16</v>
      </c>
      <c r="J3" s="1" t="s">
        <v>24</v>
      </c>
      <c r="K3" s="62">
        <v>0.43</v>
      </c>
      <c r="L3" s="1">
        <v>73.25</v>
      </c>
      <c r="M3" s="96"/>
    </row>
    <row r="4" spans="1:13" ht="75">
      <c r="A4" s="1" t="s">
        <v>356</v>
      </c>
      <c r="B4" s="1" t="s">
        <v>460</v>
      </c>
      <c r="C4" s="1">
        <v>4</v>
      </c>
      <c r="D4" s="1" t="s">
        <v>16</v>
      </c>
      <c r="E4" s="62" t="s">
        <v>11</v>
      </c>
      <c r="F4" s="1" t="s">
        <v>16</v>
      </c>
      <c r="G4" s="62" t="s">
        <v>16</v>
      </c>
      <c r="H4" s="1" t="s">
        <v>16</v>
      </c>
      <c r="I4" s="62" t="s">
        <v>16</v>
      </c>
      <c r="J4" s="1" t="s">
        <v>16</v>
      </c>
      <c r="K4" s="62">
        <v>1</v>
      </c>
      <c r="L4" s="1">
        <v>75</v>
      </c>
      <c r="M4" s="96"/>
    </row>
    <row r="5" spans="1:13" ht="78.75" customHeight="1">
      <c r="A5" s="1" t="s">
        <v>424</v>
      </c>
      <c r="B5" s="1" t="s">
        <v>461</v>
      </c>
      <c r="C5" s="1">
        <v>2</v>
      </c>
      <c r="D5" s="1" t="s">
        <v>10</v>
      </c>
      <c r="E5" s="62" t="s">
        <v>11</v>
      </c>
      <c r="F5" s="1" t="s">
        <v>16</v>
      </c>
      <c r="G5" s="62" t="s">
        <v>16</v>
      </c>
      <c r="H5" s="1" t="s">
        <v>16</v>
      </c>
      <c r="I5" s="62" t="s">
        <v>16</v>
      </c>
      <c r="J5" s="1" t="s">
        <v>10</v>
      </c>
      <c r="K5" s="62" t="s">
        <v>11</v>
      </c>
      <c r="L5" s="1">
        <v>100</v>
      </c>
      <c r="M5" s="93"/>
    </row>
    <row r="6" spans="1:13" ht="70.5" customHeight="1">
      <c r="A6" s="1" t="s">
        <v>463</v>
      </c>
      <c r="B6" s="1" t="s">
        <v>464</v>
      </c>
      <c r="C6" s="1">
        <v>1</v>
      </c>
      <c r="D6" s="1" t="s">
        <v>10</v>
      </c>
      <c r="E6" s="62" t="s">
        <v>11</v>
      </c>
      <c r="F6" s="1" t="s">
        <v>91</v>
      </c>
      <c r="G6" s="62" t="s">
        <v>77</v>
      </c>
      <c r="H6" s="1" t="s">
        <v>91</v>
      </c>
      <c r="I6" s="62" t="s">
        <v>330</v>
      </c>
      <c r="J6" s="1" t="s">
        <v>24</v>
      </c>
      <c r="K6" s="62" t="s">
        <v>24</v>
      </c>
      <c r="L6" s="1">
        <v>100</v>
      </c>
      <c r="M6" s="93"/>
    </row>
    <row r="7" spans="1:13" ht="45">
      <c r="A7" s="1" t="s">
        <v>466</v>
      </c>
      <c r="B7" s="1" t="s">
        <v>467</v>
      </c>
      <c r="C7" s="1">
        <v>4</v>
      </c>
      <c r="D7" s="1" t="s">
        <v>16</v>
      </c>
      <c r="E7" s="62" t="s">
        <v>11</v>
      </c>
      <c r="F7" s="1" t="s">
        <v>16</v>
      </c>
      <c r="G7" s="62" t="s">
        <v>16</v>
      </c>
      <c r="H7" s="1" t="s">
        <v>16</v>
      </c>
      <c r="I7" s="62" t="s">
        <v>13</v>
      </c>
      <c r="J7" s="1" t="s">
        <v>16</v>
      </c>
      <c r="K7" s="62">
        <v>83.33</v>
      </c>
      <c r="L7" s="1">
        <v>95.75</v>
      </c>
      <c r="M7" s="93"/>
    </row>
    <row r="8" spans="1:13">
      <c r="L8" s="1">
        <f>SUBTOTAL(109,ReporteAvancePlanIndicativo316[Consolidado 2020 - 2023])/6</f>
        <v>90.666666666666671</v>
      </c>
    </row>
  </sheetData>
  <phoneticPr fontId="4" type="noConversion"/>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
  <sheetViews>
    <sheetView workbookViewId="0">
      <selection activeCell="E14" sqref="E14"/>
    </sheetView>
  </sheetViews>
  <sheetFormatPr baseColWidth="10" defaultColWidth="9.140625" defaultRowHeight="15"/>
  <cols>
    <col min="1" max="2" width="27.7109375" style="1" customWidth="1"/>
    <col min="3" max="3" width="12" style="1" customWidth="1"/>
    <col min="4" max="15" width="13.140625" style="1" customWidth="1"/>
    <col min="16" max="16384" width="9.140625" style="1"/>
  </cols>
  <sheetData>
    <row r="1" spans="1:13" s="5" customFormat="1" ht="30">
      <c r="A1" s="5" t="s">
        <v>566</v>
      </c>
      <c r="B1" s="5" t="s">
        <v>567</v>
      </c>
      <c r="C1" s="5" t="s">
        <v>568</v>
      </c>
      <c r="D1" s="5" t="s">
        <v>569</v>
      </c>
      <c r="E1" s="5" t="s">
        <v>570</v>
      </c>
      <c r="F1" s="5" t="s">
        <v>574</v>
      </c>
      <c r="G1" s="5" t="s">
        <v>575</v>
      </c>
      <c r="H1" s="5" t="s">
        <v>579</v>
      </c>
      <c r="I1" s="5" t="s">
        <v>580</v>
      </c>
      <c r="J1" s="5" t="s">
        <v>584</v>
      </c>
      <c r="K1" s="5" t="s">
        <v>585</v>
      </c>
      <c r="L1" s="5" t="s">
        <v>644</v>
      </c>
      <c r="M1" s="5" t="s">
        <v>649</v>
      </c>
    </row>
    <row r="2" spans="1:13" ht="105">
      <c r="A2" s="1" t="s">
        <v>423</v>
      </c>
      <c r="B2" s="1" t="s">
        <v>425</v>
      </c>
      <c r="C2" s="1">
        <v>1</v>
      </c>
      <c r="D2" s="1" t="s">
        <v>230</v>
      </c>
      <c r="E2" s="62" t="s">
        <v>230</v>
      </c>
      <c r="F2" s="1" t="s">
        <v>78</v>
      </c>
      <c r="G2" s="62" t="s">
        <v>78</v>
      </c>
      <c r="H2" s="1" t="s">
        <v>91</v>
      </c>
      <c r="I2" s="62" t="s">
        <v>91</v>
      </c>
      <c r="J2" s="1" t="s">
        <v>91</v>
      </c>
      <c r="K2" s="62">
        <v>0.125</v>
      </c>
      <c r="L2" s="62">
        <v>87.5</v>
      </c>
      <c r="M2" s="93"/>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BCC6A-1D95-4F04-8294-973F9566AD25}">
  <dimension ref="A1:W19"/>
  <sheetViews>
    <sheetView topLeftCell="F11" workbookViewId="0">
      <selection activeCell="P20" sqref="P20"/>
    </sheetView>
  </sheetViews>
  <sheetFormatPr baseColWidth="10" defaultColWidth="9.140625" defaultRowHeight="15"/>
  <cols>
    <col min="1" max="2" width="17.7109375" style="3" customWidth="1"/>
    <col min="3" max="3" width="12.42578125" style="3" customWidth="1"/>
    <col min="4" max="4" width="12.7109375" style="3" customWidth="1"/>
    <col min="5" max="5" width="11.85546875" style="3" customWidth="1"/>
    <col min="6" max="6" width="11.140625" style="3" customWidth="1"/>
    <col min="7" max="7" width="13.5703125" style="3" customWidth="1"/>
    <col min="8" max="8" width="19.140625" style="3" customWidth="1"/>
    <col min="9" max="9" width="11.5703125" style="3" customWidth="1"/>
    <col min="10" max="10" width="10.5703125" style="3" customWidth="1"/>
    <col min="11" max="11" width="11" style="3" customWidth="1"/>
    <col min="12" max="12" width="13.5703125" style="3" customWidth="1"/>
    <col min="13" max="13" width="12.28515625" style="3" customWidth="1"/>
    <col min="14" max="14" width="12.140625" style="3" customWidth="1"/>
    <col min="15" max="15" width="11.7109375" style="3" customWidth="1"/>
    <col min="16" max="16" width="10.28515625" style="3" customWidth="1"/>
    <col min="17" max="17" width="13.5703125" style="3" customWidth="1"/>
    <col min="18" max="18" width="26.140625" style="3" customWidth="1"/>
    <col min="19" max="19" width="12.140625" style="3" customWidth="1"/>
    <col min="20" max="20" width="11.85546875" style="3" customWidth="1"/>
    <col min="21" max="21" width="11.7109375" style="3" customWidth="1"/>
    <col min="22" max="22" width="14.42578125" style="3" customWidth="1"/>
    <col min="23" max="23" width="30.85546875" style="3" customWidth="1"/>
    <col min="24" max="16384" width="9.140625" style="3"/>
  </cols>
  <sheetData>
    <row r="1" spans="1:23" ht="30">
      <c r="A1" s="3" t="s">
        <v>566</v>
      </c>
      <c r="B1" s="3" t="s">
        <v>567</v>
      </c>
      <c r="C1" s="3" t="s">
        <v>568</v>
      </c>
      <c r="D1" s="3" t="s">
        <v>569</v>
      </c>
      <c r="E1" s="3" t="s">
        <v>570</v>
      </c>
      <c r="F1" s="3" t="s">
        <v>571</v>
      </c>
      <c r="G1" s="3" t="s">
        <v>572</v>
      </c>
      <c r="H1" s="3" t="s">
        <v>573</v>
      </c>
      <c r="I1" s="3" t="s">
        <v>574</v>
      </c>
      <c r="J1" s="3" t="s">
        <v>575</v>
      </c>
      <c r="K1" s="3" t="s">
        <v>576</v>
      </c>
      <c r="L1" s="3" t="s">
        <v>577</v>
      </c>
      <c r="M1" s="3" t="s">
        <v>578</v>
      </c>
      <c r="N1" s="3" t="s">
        <v>579</v>
      </c>
      <c r="O1" s="3" t="s">
        <v>580</v>
      </c>
      <c r="P1" s="3" t="s">
        <v>581</v>
      </c>
      <c r="Q1" s="3" t="s">
        <v>582</v>
      </c>
      <c r="R1" s="3" t="s">
        <v>583</v>
      </c>
      <c r="S1" s="3" t="s">
        <v>584</v>
      </c>
      <c r="T1" s="3" t="s">
        <v>585</v>
      </c>
      <c r="U1" s="3" t="s">
        <v>586</v>
      </c>
      <c r="V1" s="3" t="s">
        <v>587</v>
      </c>
      <c r="W1" s="3" t="s">
        <v>588</v>
      </c>
    </row>
    <row r="2" spans="1:23" ht="79.5" customHeight="1">
      <c r="A2" s="4" t="s">
        <v>44</v>
      </c>
      <c r="B2" s="4" t="s">
        <v>45</v>
      </c>
      <c r="C2" s="3">
        <v>1</v>
      </c>
      <c r="D2" s="3" t="s">
        <v>10</v>
      </c>
      <c r="E2" s="3" t="s">
        <v>11</v>
      </c>
      <c r="F2" s="3">
        <v>0</v>
      </c>
      <c r="H2" s="4"/>
      <c r="I2" s="3" t="s">
        <v>10</v>
      </c>
      <c r="J2" s="3" t="s">
        <v>11</v>
      </c>
      <c r="K2" s="3">
        <v>0</v>
      </c>
      <c r="N2" s="3" t="s">
        <v>10</v>
      </c>
      <c r="O2" s="3" t="s">
        <v>11</v>
      </c>
      <c r="P2" s="3">
        <v>0</v>
      </c>
      <c r="R2" s="4"/>
      <c r="S2" s="3" t="s">
        <v>16</v>
      </c>
      <c r="T2" s="3" t="s">
        <v>11</v>
      </c>
      <c r="U2" s="3">
        <v>0</v>
      </c>
      <c r="V2" s="3" t="s">
        <v>14</v>
      </c>
      <c r="W2" s="4" t="s">
        <v>46</v>
      </c>
    </row>
    <row r="3" spans="1:23" ht="59.25" customHeight="1">
      <c r="A3" s="4" t="s">
        <v>47</v>
      </c>
      <c r="B3" s="4" t="s">
        <v>48</v>
      </c>
      <c r="C3" s="3">
        <v>5000</v>
      </c>
      <c r="D3" s="3" t="s">
        <v>49</v>
      </c>
      <c r="E3" s="3" t="s">
        <v>49</v>
      </c>
      <c r="F3" s="3">
        <v>100</v>
      </c>
      <c r="G3" s="3" t="s">
        <v>5</v>
      </c>
      <c r="H3" s="4" t="s">
        <v>50</v>
      </c>
      <c r="I3" s="3" t="s">
        <v>49</v>
      </c>
      <c r="J3" s="3" t="s">
        <v>49</v>
      </c>
      <c r="K3" s="3">
        <v>100</v>
      </c>
      <c r="L3" s="3" t="s">
        <v>5</v>
      </c>
      <c r="N3" s="3" t="s">
        <v>49</v>
      </c>
      <c r="O3" s="3" t="s">
        <v>51</v>
      </c>
      <c r="P3" s="3">
        <v>100</v>
      </c>
      <c r="Q3" s="3" t="s">
        <v>5</v>
      </c>
      <c r="R3" s="4"/>
      <c r="S3" s="3" t="s">
        <v>49</v>
      </c>
      <c r="T3" s="3">
        <v>10416</v>
      </c>
      <c r="U3" s="3">
        <v>100</v>
      </c>
      <c r="V3" s="3" t="s">
        <v>5</v>
      </c>
      <c r="W3" s="4"/>
    </row>
    <row r="4" spans="1:23" ht="75.75" customHeight="1">
      <c r="A4" s="4" t="s">
        <v>52</v>
      </c>
      <c r="B4" s="4" t="s">
        <v>52</v>
      </c>
      <c r="C4" s="3">
        <v>1</v>
      </c>
      <c r="D4" s="3" t="s">
        <v>16</v>
      </c>
      <c r="E4" s="3" t="s">
        <v>16</v>
      </c>
      <c r="F4" s="3">
        <v>100</v>
      </c>
      <c r="G4" s="3" t="s">
        <v>5</v>
      </c>
      <c r="H4" s="4" t="s">
        <v>53</v>
      </c>
      <c r="I4" s="3" t="s">
        <v>16</v>
      </c>
      <c r="J4" s="3" t="s">
        <v>16</v>
      </c>
      <c r="K4" s="3">
        <v>100</v>
      </c>
      <c r="L4" s="3" t="s">
        <v>5</v>
      </c>
      <c r="N4" s="3" t="s">
        <v>16</v>
      </c>
      <c r="O4" s="3" t="s">
        <v>16</v>
      </c>
      <c r="P4" s="3">
        <v>100</v>
      </c>
      <c r="Q4" s="3" t="s">
        <v>5</v>
      </c>
      <c r="R4" s="4"/>
      <c r="S4" s="3" t="s">
        <v>16</v>
      </c>
      <c r="T4" s="3" t="s">
        <v>16</v>
      </c>
      <c r="U4" s="3">
        <v>100</v>
      </c>
      <c r="V4" s="3" t="s">
        <v>5</v>
      </c>
      <c r="W4" s="4"/>
    </row>
    <row r="5" spans="1:23" ht="94.5" customHeight="1">
      <c r="A5" s="4" t="s">
        <v>54</v>
      </c>
      <c r="B5" s="4" t="s">
        <v>55</v>
      </c>
      <c r="C5" s="3">
        <v>20</v>
      </c>
      <c r="D5" s="3" t="s">
        <v>10</v>
      </c>
      <c r="E5" s="3" t="s">
        <v>11</v>
      </c>
      <c r="F5" s="3">
        <v>0</v>
      </c>
      <c r="H5" s="4"/>
      <c r="I5" s="3" t="s">
        <v>56</v>
      </c>
      <c r="J5" s="3" t="s">
        <v>57</v>
      </c>
      <c r="K5" s="3">
        <v>70</v>
      </c>
      <c r="L5" s="3" t="s">
        <v>59</v>
      </c>
      <c r="N5" s="3" t="s">
        <v>56</v>
      </c>
      <c r="O5" s="3" t="s">
        <v>60</v>
      </c>
      <c r="P5" s="3">
        <v>100</v>
      </c>
      <c r="Q5" s="3" t="s">
        <v>5</v>
      </c>
      <c r="R5" s="4" t="s">
        <v>61</v>
      </c>
      <c r="S5" s="3" t="s">
        <v>13</v>
      </c>
      <c r="T5" s="3">
        <v>11</v>
      </c>
      <c r="U5" s="3">
        <v>100</v>
      </c>
      <c r="V5" s="3" t="s">
        <v>5</v>
      </c>
      <c r="W5" s="4"/>
    </row>
    <row r="6" spans="1:23" ht="105">
      <c r="A6" s="4" t="s">
        <v>63</v>
      </c>
      <c r="B6" s="4" t="s">
        <v>63</v>
      </c>
      <c r="C6" s="3">
        <v>1</v>
      </c>
      <c r="D6" s="3" t="s">
        <v>16</v>
      </c>
      <c r="E6" s="3" t="s">
        <v>16</v>
      </c>
      <c r="F6" s="3">
        <v>100</v>
      </c>
      <c r="G6" s="3" t="s">
        <v>5</v>
      </c>
      <c r="H6" s="4"/>
      <c r="I6" s="3" t="s">
        <v>16</v>
      </c>
      <c r="J6" s="3" t="s">
        <v>16</v>
      </c>
      <c r="K6" s="3">
        <v>100</v>
      </c>
      <c r="L6" s="3" t="s">
        <v>5</v>
      </c>
      <c r="N6" s="3" t="s">
        <v>16</v>
      </c>
      <c r="O6" s="3" t="s">
        <v>16</v>
      </c>
      <c r="P6" s="3">
        <v>100</v>
      </c>
      <c r="Q6" s="3" t="s">
        <v>5</v>
      </c>
      <c r="R6" s="4"/>
      <c r="S6" s="3" t="s">
        <v>16</v>
      </c>
      <c r="T6" s="3" t="s">
        <v>16</v>
      </c>
      <c r="U6" s="3">
        <v>100</v>
      </c>
      <c r="V6" s="3" t="s">
        <v>5</v>
      </c>
      <c r="W6" s="4" t="s">
        <v>64</v>
      </c>
    </row>
    <row r="7" spans="1:23" ht="90">
      <c r="A7" s="4" t="s">
        <v>65</v>
      </c>
      <c r="B7" s="4" t="s">
        <v>66</v>
      </c>
      <c r="C7" s="3">
        <v>2625</v>
      </c>
      <c r="D7" s="3" t="s">
        <v>67</v>
      </c>
      <c r="E7" s="3" t="s">
        <v>67</v>
      </c>
      <c r="F7" s="3">
        <v>100</v>
      </c>
      <c r="G7" s="3" t="s">
        <v>5</v>
      </c>
      <c r="H7" s="4"/>
      <c r="I7" s="3" t="s">
        <v>68</v>
      </c>
      <c r="J7" s="3" t="s">
        <v>68</v>
      </c>
      <c r="K7" s="3">
        <v>100</v>
      </c>
      <c r="L7" s="3" t="s">
        <v>5</v>
      </c>
      <c r="N7" s="3" t="s">
        <v>69</v>
      </c>
      <c r="O7" s="3" t="s">
        <v>70</v>
      </c>
      <c r="P7" s="3">
        <v>100</v>
      </c>
      <c r="Q7" s="3" t="s">
        <v>5</v>
      </c>
      <c r="R7" s="4"/>
      <c r="S7" s="3" t="s">
        <v>69</v>
      </c>
      <c r="T7" s="3">
        <v>2749</v>
      </c>
      <c r="U7" s="3">
        <v>99.05</v>
      </c>
      <c r="V7" s="3" t="s">
        <v>5</v>
      </c>
      <c r="W7" s="4"/>
    </row>
    <row r="8" spans="1:23" ht="30">
      <c r="A8" s="4" t="s">
        <v>71</v>
      </c>
      <c r="B8" s="4" t="s">
        <v>589</v>
      </c>
      <c r="C8" s="3">
        <v>1</v>
      </c>
      <c r="D8" s="3" t="s">
        <v>16</v>
      </c>
      <c r="E8" s="3" t="s">
        <v>16</v>
      </c>
      <c r="F8" s="3">
        <v>100</v>
      </c>
      <c r="G8" s="3" t="s">
        <v>5</v>
      </c>
      <c r="H8" s="4"/>
      <c r="I8" s="3" t="s">
        <v>16</v>
      </c>
      <c r="J8" s="3" t="s">
        <v>16</v>
      </c>
      <c r="K8" s="3">
        <v>100</v>
      </c>
      <c r="L8" s="3" t="s">
        <v>5</v>
      </c>
      <c r="N8" s="3" t="s">
        <v>16</v>
      </c>
      <c r="O8" s="3" t="s">
        <v>16</v>
      </c>
      <c r="P8" s="3">
        <v>100</v>
      </c>
      <c r="Q8" s="3" t="s">
        <v>5</v>
      </c>
      <c r="R8" s="4"/>
      <c r="S8" s="3" t="s">
        <v>16</v>
      </c>
      <c r="T8" s="3" t="s">
        <v>16</v>
      </c>
      <c r="U8" s="3">
        <v>100</v>
      </c>
      <c r="V8" s="3" t="s">
        <v>5</v>
      </c>
      <c r="W8" s="4" t="s">
        <v>72</v>
      </c>
    </row>
    <row r="9" spans="1:23" ht="60">
      <c r="A9" s="4" t="s">
        <v>73</v>
      </c>
      <c r="B9" s="4" t="s">
        <v>74</v>
      </c>
      <c r="C9" s="3">
        <v>4</v>
      </c>
      <c r="D9" s="3" t="s">
        <v>16</v>
      </c>
      <c r="E9" s="3" t="s">
        <v>16</v>
      </c>
      <c r="F9" s="3">
        <v>100</v>
      </c>
      <c r="G9" s="3" t="s">
        <v>5</v>
      </c>
      <c r="H9" s="4"/>
      <c r="I9" s="3" t="s">
        <v>16</v>
      </c>
      <c r="J9" s="3" t="s">
        <v>16</v>
      </c>
      <c r="K9" s="3">
        <v>100</v>
      </c>
      <c r="L9" s="3" t="s">
        <v>5</v>
      </c>
      <c r="N9" s="3" t="s">
        <v>16</v>
      </c>
      <c r="O9" s="3" t="s">
        <v>16</v>
      </c>
      <c r="P9" s="3">
        <v>100</v>
      </c>
      <c r="Q9" s="3" t="s">
        <v>5</v>
      </c>
      <c r="R9" s="4"/>
      <c r="S9" s="3" t="s">
        <v>16</v>
      </c>
      <c r="T9" s="3" t="s">
        <v>16</v>
      </c>
      <c r="U9" s="3">
        <v>100</v>
      </c>
      <c r="V9" s="3" t="s">
        <v>5</v>
      </c>
      <c r="W9" s="4"/>
    </row>
    <row r="10" spans="1:23" ht="50.25" customHeight="1">
      <c r="A10" s="4" t="s">
        <v>75</v>
      </c>
      <c r="B10" s="4" t="s">
        <v>76</v>
      </c>
      <c r="C10" s="3">
        <v>1</v>
      </c>
      <c r="D10" s="3" t="s">
        <v>77</v>
      </c>
      <c r="E10" s="3" t="s">
        <v>29</v>
      </c>
      <c r="F10" s="3">
        <v>0</v>
      </c>
      <c r="G10" s="3" t="s">
        <v>14</v>
      </c>
      <c r="H10" s="4"/>
      <c r="I10" s="3" t="s">
        <v>77</v>
      </c>
      <c r="J10" s="3" t="s">
        <v>7</v>
      </c>
      <c r="K10" s="3">
        <v>0</v>
      </c>
      <c r="L10" s="3" t="s">
        <v>14</v>
      </c>
      <c r="N10" s="3" t="s">
        <v>78</v>
      </c>
      <c r="O10" s="3" t="s">
        <v>79</v>
      </c>
      <c r="P10" s="3">
        <v>12.5</v>
      </c>
      <c r="Q10" s="3" t="s">
        <v>14</v>
      </c>
      <c r="R10" s="4"/>
      <c r="S10" s="3" t="s">
        <v>80</v>
      </c>
      <c r="T10" s="3" t="s">
        <v>11</v>
      </c>
      <c r="U10" s="3">
        <v>0</v>
      </c>
      <c r="V10" s="3" t="s">
        <v>14</v>
      </c>
      <c r="W10" s="4" t="s">
        <v>81</v>
      </c>
    </row>
    <row r="11" spans="1:23" ht="71.25" customHeight="1">
      <c r="A11" s="4" t="s">
        <v>82</v>
      </c>
      <c r="B11" s="4" t="s">
        <v>83</v>
      </c>
      <c r="C11" s="3">
        <v>8</v>
      </c>
      <c r="D11" s="3" t="s">
        <v>13</v>
      </c>
      <c r="E11" s="3" t="s">
        <v>16</v>
      </c>
      <c r="F11" s="3">
        <v>50</v>
      </c>
      <c r="G11" s="3" t="s">
        <v>18</v>
      </c>
      <c r="H11" s="4"/>
      <c r="I11" s="3" t="s">
        <v>13</v>
      </c>
      <c r="J11" s="3" t="s">
        <v>13</v>
      </c>
      <c r="K11" s="3">
        <v>100</v>
      </c>
      <c r="L11" s="3" t="s">
        <v>5</v>
      </c>
      <c r="N11" s="3" t="s">
        <v>13</v>
      </c>
      <c r="O11" s="3" t="s">
        <v>13</v>
      </c>
      <c r="P11" s="3">
        <v>100</v>
      </c>
      <c r="Q11" s="3" t="s">
        <v>5</v>
      </c>
      <c r="R11" s="4"/>
      <c r="S11" s="3" t="s">
        <v>84</v>
      </c>
      <c r="T11" s="3" t="s">
        <v>13</v>
      </c>
      <c r="U11" s="3">
        <v>66.67</v>
      </c>
      <c r="V11" s="3" t="s">
        <v>59</v>
      </c>
      <c r="W11" s="4" t="s">
        <v>85</v>
      </c>
    </row>
    <row r="12" spans="1:23" ht="75">
      <c r="A12" s="4" t="s">
        <v>86</v>
      </c>
      <c r="B12" s="4" t="s">
        <v>87</v>
      </c>
      <c r="C12" s="3">
        <v>2</v>
      </c>
      <c r="D12" s="3" t="s">
        <v>10</v>
      </c>
      <c r="E12" s="3" t="s">
        <v>11</v>
      </c>
      <c r="F12" s="3">
        <v>0</v>
      </c>
      <c r="H12" s="4"/>
      <c r="I12" s="3" t="s">
        <v>10</v>
      </c>
      <c r="J12" s="3" t="s">
        <v>11</v>
      </c>
      <c r="K12" s="3">
        <v>0</v>
      </c>
      <c r="N12" s="3" t="s">
        <v>13</v>
      </c>
      <c r="O12" s="3" t="s">
        <v>13</v>
      </c>
      <c r="P12" s="3">
        <v>100</v>
      </c>
      <c r="Q12" s="3" t="s">
        <v>5</v>
      </c>
      <c r="R12" s="4"/>
      <c r="S12" s="3" t="s">
        <v>10</v>
      </c>
      <c r="T12" s="3">
        <v>1</v>
      </c>
      <c r="U12" s="3">
        <v>100</v>
      </c>
      <c r="V12" s="3" t="s">
        <v>5</v>
      </c>
      <c r="W12" s="4"/>
    </row>
    <row r="13" spans="1:23" ht="79.5" customHeight="1">
      <c r="A13" s="4" t="s">
        <v>88</v>
      </c>
      <c r="B13" s="4" t="s">
        <v>89</v>
      </c>
      <c r="C13" s="3">
        <v>1</v>
      </c>
      <c r="D13" s="3" t="s">
        <v>10</v>
      </c>
      <c r="E13" s="3" t="s">
        <v>11</v>
      </c>
      <c r="F13" s="3">
        <v>0</v>
      </c>
      <c r="H13" s="4"/>
      <c r="I13" s="3" t="s">
        <v>91</v>
      </c>
      <c r="J13" s="3" t="s">
        <v>7</v>
      </c>
      <c r="K13" s="3">
        <v>0</v>
      </c>
      <c r="L13" s="3" t="s">
        <v>14</v>
      </c>
      <c r="N13" s="3" t="s">
        <v>91</v>
      </c>
      <c r="O13" s="3" t="s">
        <v>79</v>
      </c>
      <c r="P13" s="3">
        <v>20</v>
      </c>
      <c r="Q13" s="3" t="s">
        <v>14</v>
      </c>
      <c r="R13" s="4"/>
      <c r="S13" s="3" t="s">
        <v>80</v>
      </c>
      <c r="T13" s="3" t="s">
        <v>11</v>
      </c>
      <c r="U13" s="3">
        <v>0</v>
      </c>
      <c r="V13" s="3" t="s">
        <v>14</v>
      </c>
      <c r="W13" s="4"/>
    </row>
    <row r="14" spans="1:23" ht="48" customHeight="1">
      <c r="A14" s="4" t="s">
        <v>93</v>
      </c>
      <c r="B14" s="4" t="s">
        <v>94</v>
      </c>
      <c r="C14" s="3">
        <v>2000</v>
      </c>
      <c r="D14" s="3" t="s">
        <v>10</v>
      </c>
      <c r="E14" s="3" t="s">
        <v>11</v>
      </c>
      <c r="F14" s="3">
        <v>0</v>
      </c>
      <c r="H14" s="4"/>
      <c r="I14" s="3" t="s">
        <v>95</v>
      </c>
      <c r="J14" s="3" t="s">
        <v>95</v>
      </c>
      <c r="K14" s="3">
        <v>100</v>
      </c>
      <c r="L14" s="3" t="s">
        <v>5</v>
      </c>
      <c r="N14" s="3" t="s">
        <v>95</v>
      </c>
      <c r="O14" s="3" t="s">
        <v>96</v>
      </c>
      <c r="P14" s="3">
        <v>100</v>
      </c>
      <c r="Q14" s="3" t="s">
        <v>5</v>
      </c>
      <c r="R14" s="4" t="s">
        <v>97</v>
      </c>
      <c r="S14" s="3" t="s">
        <v>98</v>
      </c>
      <c r="T14" s="3">
        <v>3122</v>
      </c>
      <c r="U14" s="3">
        <v>100</v>
      </c>
      <c r="V14" s="3" t="s">
        <v>5</v>
      </c>
      <c r="W14" s="4" t="s">
        <v>99</v>
      </c>
    </row>
    <row r="15" spans="1:23" ht="78.75" customHeight="1">
      <c r="A15" s="4" t="s">
        <v>100</v>
      </c>
      <c r="B15" s="4" t="s">
        <v>101</v>
      </c>
      <c r="C15" s="3">
        <v>48</v>
      </c>
      <c r="D15" s="3" t="s">
        <v>102</v>
      </c>
      <c r="E15" s="3" t="s">
        <v>102</v>
      </c>
      <c r="F15" s="3">
        <v>100</v>
      </c>
      <c r="G15" s="3" t="s">
        <v>5</v>
      </c>
      <c r="H15" s="4" t="s">
        <v>103</v>
      </c>
      <c r="I15" s="3" t="s">
        <v>102</v>
      </c>
      <c r="J15" s="3" t="s">
        <v>104</v>
      </c>
      <c r="K15" s="3">
        <v>54.17</v>
      </c>
      <c r="L15" s="3" t="s">
        <v>18</v>
      </c>
      <c r="N15" s="3" t="s">
        <v>102</v>
      </c>
      <c r="O15" s="3" t="s">
        <v>105</v>
      </c>
      <c r="P15" s="3">
        <v>100</v>
      </c>
      <c r="Q15" s="3" t="s">
        <v>5</v>
      </c>
      <c r="R15" s="4"/>
      <c r="S15" s="3" t="s">
        <v>106</v>
      </c>
      <c r="T15" s="3" t="s">
        <v>107</v>
      </c>
      <c r="U15" s="3">
        <v>77.77</v>
      </c>
      <c r="V15" s="3" t="s">
        <v>108</v>
      </c>
      <c r="W15" s="4" t="s">
        <v>99</v>
      </c>
    </row>
    <row r="16" spans="1:23" ht="125.25" customHeight="1">
      <c r="A16" s="4" t="s">
        <v>109</v>
      </c>
      <c r="B16" s="4" t="s">
        <v>111</v>
      </c>
      <c r="C16" s="3">
        <v>1</v>
      </c>
      <c r="D16" s="3" t="s">
        <v>10</v>
      </c>
      <c r="E16" s="3" t="s">
        <v>11</v>
      </c>
      <c r="F16" s="3">
        <v>0</v>
      </c>
      <c r="H16" s="4"/>
      <c r="I16" s="3" t="s">
        <v>10</v>
      </c>
      <c r="J16" s="3" t="s">
        <v>11</v>
      </c>
      <c r="K16" s="3">
        <v>0</v>
      </c>
      <c r="N16" s="3" t="s">
        <v>10</v>
      </c>
      <c r="O16" s="3" t="s">
        <v>29</v>
      </c>
      <c r="P16" s="3">
        <v>0</v>
      </c>
      <c r="R16" s="4"/>
      <c r="S16" s="3" t="s">
        <v>16</v>
      </c>
      <c r="T16" s="3" t="s">
        <v>77</v>
      </c>
      <c r="U16" s="3">
        <v>20</v>
      </c>
      <c r="V16" s="3" t="s">
        <v>14</v>
      </c>
      <c r="W16" s="4" t="s">
        <v>112</v>
      </c>
    </row>
    <row r="17" spans="1:23" ht="109.5" customHeight="1">
      <c r="A17" s="4" t="s">
        <v>110</v>
      </c>
      <c r="B17" s="4" t="s">
        <v>113</v>
      </c>
      <c r="C17" s="3">
        <v>1</v>
      </c>
      <c r="D17" s="3" t="s">
        <v>16</v>
      </c>
      <c r="E17" s="3" t="s">
        <v>16</v>
      </c>
      <c r="F17" s="3">
        <v>100</v>
      </c>
      <c r="G17" s="3" t="s">
        <v>5</v>
      </c>
      <c r="H17" s="4"/>
      <c r="I17" s="3" t="s">
        <v>16</v>
      </c>
      <c r="J17" s="3" t="s">
        <v>16</v>
      </c>
      <c r="K17" s="3">
        <v>100</v>
      </c>
      <c r="L17" s="3" t="s">
        <v>5</v>
      </c>
      <c r="N17" s="3" t="s">
        <v>16</v>
      </c>
      <c r="O17" s="3" t="s">
        <v>114</v>
      </c>
      <c r="P17" s="3">
        <v>70</v>
      </c>
      <c r="Q17" s="3" t="s">
        <v>59</v>
      </c>
      <c r="R17" s="4"/>
      <c r="S17" s="3" t="s">
        <v>16</v>
      </c>
      <c r="T17" s="3" t="s">
        <v>16</v>
      </c>
      <c r="U17" s="3">
        <v>100</v>
      </c>
      <c r="V17" s="3" t="s">
        <v>5</v>
      </c>
      <c r="W17" s="4" t="s">
        <v>115</v>
      </c>
    </row>
    <row r="18" spans="1:23" ht="90">
      <c r="A18" s="4" t="s">
        <v>116</v>
      </c>
      <c r="B18" s="4" t="s">
        <v>117</v>
      </c>
      <c r="C18" s="3">
        <v>2</v>
      </c>
      <c r="D18" s="3" t="s">
        <v>13</v>
      </c>
      <c r="E18" s="3" t="s">
        <v>11</v>
      </c>
      <c r="F18" s="3">
        <v>0</v>
      </c>
      <c r="G18" s="3" t="s">
        <v>14</v>
      </c>
      <c r="H18" s="4"/>
      <c r="I18" s="3" t="s">
        <v>13</v>
      </c>
      <c r="J18" s="3" t="s">
        <v>13</v>
      </c>
      <c r="K18" s="3">
        <v>100</v>
      </c>
      <c r="L18" s="3" t="s">
        <v>5</v>
      </c>
      <c r="N18" s="3" t="s">
        <v>13</v>
      </c>
      <c r="O18" s="3" t="s">
        <v>13</v>
      </c>
      <c r="P18" s="3">
        <v>100</v>
      </c>
      <c r="Q18" s="3" t="s">
        <v>5</v>
      </c>
      <c r="S18" s="3" t="s">
        <v>13</v>
      </c>
      <c r="T18" s="3" t="s">
        <v>13</v>
      </c>
      <c r="U18" s="3">
        <v>100</v>
      </c>
      <c r="V18" s="3" t="s">
        <v>5</v>
      </c>
      <c r="W18" s="4"/>
    </row>
    <row r="19" spans="1:23">
      <c r="A19" s="4"/>
      <c r="B19" s="4"/>
      <c r="F19" s="3">
        <f>SUBTOTAL(109,ReporteAvancePlanIndicativo342[% Avance 2020])/11</f>
        <v>77.272727272727266</v>
      </c>
      <c r="H19" s="4"/>
      <c r="K19" s="3">
        <f>SUBTOTAL(109,ReporteAvancePlanIndicativo342[% Avance 2021])/15</f>
        <v>74.944666666666677</v>
      </c>
      <c r="P19" s="3">
        <f>SUBTOTAL(109,ReporteAvancePlanIndicativo342[% Avance 2022])/15</f>
        <v>86.833333333333329</v>
      </c>
      <c r="U19" s="3">
        <f>SUBTOTAL(109,ReporteAvancePlanIndicativo342[% Avance 2023])/17</f>
        <v>74.322941176470593</v>
      </c>
      <c r="W19" s="4"/>
    </row>
  </sheetData>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workbookViewId="0">
      <selection activeCell="G18" sqref="G18"/>
    </sheetView>
  </sheetViews>
  <sheetFormatPr baseColWidth="10" defaultColWidth="9.140625" defaultRowHeight="15"/>
  <cols>
    <col min="1" max="1" width="24.85546875" style="1" customWidth="1"/>
    <col min="2" max="2" width="24.5703125" style="1" customWidth="1"/>
    <col min="3" max="3" width="12.140625" style="1" customWidth="1"/>
    <col min="4" max="4" width="13.7109375" style="1" customWidth="1"/>
    <col min="5" max="5" width="12.5703125" style="1" customWidth="1"/>
    <col min="6" max="6" width="12.7109375" style="1" customWidth="1"/>
    <col min="7" max="7" width="11" style="1" customWidth="1"/>
    <col min="8" max="8" width="12.28515625" style="1" customWidth="1"/>
    <col min="9" max="9" width="13.5703125" style="1" customWidth="1"/>
    <col min="10" max="10" width="12.7109375" style="1" customWidth="1"/>
    <col min="11" max="11" width="11.7109375" style="1" customWidth="1"/>
    <col min="12" max="12" width="15.85546875" style="1" customWidth="1"/>
    <col min="13" max="13" width="11.42578125" style="1" customWidth="1"/>
    <col min="14" max="15" width="15.85546875" style="1" customWidth="1"/>
    <col min="16" max="16384" width="9.140625" style="1"/>
  </cols>
  <sheetData>
    <row r="1" spans="1:13" s="5" customFormat="1" ht="30">
      <c r="A1" s="5" t="s">
        <v>566</v>
      </c>
      <c r="B1" s="5" t="s">
        <v>567</v>
      </c>
      <c r="C1" s="5" t="s">
        <v>568</v>
      </c>
      <c r="D1" s="5" t="s">
        <v>569</v>
      </c>
      <c r="E1" s="5" t="s">
        <v>570</v>
      </c>
      <c r="F1" s="5" t="s">
        <v>574</v>
      </c>
      <c r="G1" s="5" t="s">
        <v>575</v>
      </c>
      <c r="H1" s="5" t="s">
        <v>579</v>
      </c>
      <c r="I1" s="5" t="s">
        <v>580</v>
      </c>
      <c r="J1" s="5" t="s">
        <v>584</v>
      </c>
      <c r="K1" s="5" t="s">
        <v>585</v>
      </c>
      <c r="L1" s="5" t="s">
        <v>644</v>
      </c>
      <c r="M1" s="5" t="s">
        <v>649</v>
      </c>
    </row>
    <row r="2" spans="1:13" ht="60">
      <c r="A2" s="1" t="s">
        <v>437</v>
      </c>
      <c r="B2" s="1" t="s">
        <v>438</v>
      </c>
      <c r="C2" s="1">
        <v>75</v>
      </c>
      <c r="D2" s="1" t="s">
        <v>158</v>
      </c>
      <c r="E2" s="62" t="s">
        <v>24</v>
      </c>
      <c r="F2" s="1" t="s">
        <v>92</v>
      </c>
      <c r="G2" s="62" t="s">
        <v>92</v>
      </c>
      <c r="H2" s="1" t="s">
        <v>92</v>
      </c>
      <c r="I2" s="62" t="s">
        <v>92</v>
      </c>
      <c r="J2" s="1" t="s">
        <v>92</v>
      </c>
      <c r="K2" s="62">
        <v>17</v>
      </c>
      <c r="L2" s="97" t="s">
        <v>646</v>
      </c>
      <c r="M2" s="93"/>
    </row>
    <row r="3" spans="1:13" ht="32.25" customHeight="1">
      <c r="A3" s="1" t="s">
        <v>439</v>
      </c>
      <c r="B3" s="1" t="s">
        <v>440</v>
      </c>
      <c r="C3" s="1">
        <v>20</v>
      </c>
      <c r="D3" s="1" t="s">
        <v>172</v>
      </c>
      <c r="E3" s="62" t="s">
        <v>11</v>
      </c>
      <c r="F3" s="1" t="s">
        <v>172</v>
      </c>
      <c r="G3" s="62" t="s">
        <v>212</v>
      </c>
      <c r="H3" s="1" t="s">
        <v>172</v>
      </c>
      <c r="I3" s="62" t="s">
        <v>172</v>
      </c>
      <c r="J3" s="1" t="s">
        <v>172</v>
      </c>
      <c r="K3" s="62">
        <v>4</v>
      </c>
      <c r="L3" s="97" t="s">
        <v>647</v>
      </c>
      <c r="M3" s="96"/>
    </row>
    <row r="4" spans="1:13" ht="54.75" customHeight="1">
      <c r="A4" s="1" t="s">
        <v>441</v>
      </c>
      <c r="B4" s="1" t="s">
        <v>442</v>
      </c>
      <c r="C4" s="1">
        <v>32</v>
      </c>
      <c r="D4" s="1" t="s">
        <v>10</v>
      </c>
      <c r="E4" s="62" t="s">
        <v>11</v>
      </c>
      <c r="F4" s="1" t="s">
        <v>443</v>
      </c>
      <c r="G4" s="62" t="s">
        <v>443</v>
      </c>
      <c r="H4" s="1" t="s">
        <v>10</v>
      </c>
      <c r="I4" s="62" t="s">
        <v>11</v>
      </c>
      <c r="J4" s="1" t="s">
        <v>10</v>
      </c>
      <c r="K4" s="62" t="s">
        <v>11</v>
      </c>
      <c r="L4" s="97">
        <v>100</v>
      </c>
      <c r="M4" s="93"/>
    </row>
    <row r="5" spans="1:13" ht="60">
      <c r="A5" s="1" t="s">
        <v>444</v>
      </c>
      <c r="B5" s="1" t="s">
        <v>445</v>
      </c>
      <c r="C5" s="1">
        <v>20</v>
      </c>
      <c r="D5" s="1" t="s">
        <v>172</v>
      </c>
      <c r="E5" s="62" t="s">
        <v>172</v>
      </c>
      <c r="F5" s="1" t="s">
        <v>172</v>
      </c>
      <c r="G5" s="62" t="s">
        <v>172</v>
      </c>
      <c r="H5" s="1" t="s">
        <v>172</v>
      </c>
      <c r="I5" s="62" t="s">
        <v>172</v>
      </c>
      <c r="J5" s="1" t="s">
        <v>172</v>
      </c>
      <c r="K5" s="62">
        <v>4</v>
      </c>
      <c r="L5" s="97">
        <v>95</v>
      </c>
      <c r="M5" s="93"/>
    </row>
    <row r="6" spans="1:13">
      <c r="L6" s="1" t="s">
        <v>648</v>
      </c>
    </row>
    <row r="9" spans="1:13">
      <c r="L9" s="1" t="s">
        <v>140</v>
      </c>
    </row>
    <row r="10" spans="1:13">
      <c r="L10" s="1" t="s">
        <v>140</v>
      </c>
    </row>
    <row r="11" spans="1:13">
      <c r="L11" s="1" t="s">
        <v>140</v>
      </c>
    </row>
    <row r="12" spans="1:13">
      <c r="L12" s="1" t="s">
        <v>140</v>
      </c>
    </row>
    <row r="13" spans="1:13">
      <c r="L13" s="1" t="s">
        <v>140</v>
      </c>
    </row>
    <row r="14" spans="1:13">
      <c r="L14" s="1" t="s">
        <v>140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9"/>
  <sheetViews>
    <sheetView zoomScaleNormal="100" workbookViewId="0">
      <selection sqref="A1:M18"/>
    </sheetView>
  </sheetViews>
  <sheetFormatPr baseColWidth="10" defaultColWidth="9.140625" defaultRowHeight="15"/>
  <cols>
    <col min="1" max="2" width="17.7109375" style="3" customWidth="1"/>
    <col min="3" max="3" width="12.42578125" style="3" customWidth="1"/>
    <col min="4" max="4" width="12.7109375" style="3" customWidth="1"/>
    <col min="5" max="5" width="11.85546875" style="3" customWidth="1"/>
    <col min="6" max="6" width="11.5703125" style="3" customWidth="1"/>
    <col min="7" max="7" width="10.5703125" style="3" customWidth="1"/>
    <col min="8" max="8" width="12.140625" style="3" customWidth="1"/>
    <col min="9" max="9" width="11.7109375" style="3" customWidth="1"/>
    <col min="10" max="10" width="12.140625" style="3" customWidth="1"/>
    <col min="11" max="11" width="11.85546875" style="3" customWidth="1"/>
    <col min="12" max="12" width="17.85546875" style="3" customWidth="1"/>
    <col min="13" max="16384" width="9.140625" style="3"/>
  </cols>
  <sheetData>
    <row r="1" spans="1:13" ht="30">
      <c r="A1" s="3" t="s">
        <v>566</v>
      </c>
      <c r="B1" s="3" t="s">
        <v>567</v>
      </c>
      <c r="C1" s="3" t="s">
        <v>568</v>
      </c>
      <c r="D1" s="3" t="s">
        <v>569</v>
      </c>
      <c r="E1" s="3" t="s">
        <v>570</v>
      </c>
      <c r="F1" s="3" t="s">
        <v>574</v>
      </c>
      <c r="G1" s="3" t="s">
        <v>575</v>
      </c>
      <c r="H1" s="3" t="s">
        <v>579</v>
      </c>
      <c r="I1" s="3" t="s">
        <v>580</v>
      </c>
      <c r="J1" s="3" t="s">
        <v>584</v>
      </c>
      <c r="K1" s="3" t="s">
        <v>585</v>
      </c>
      <c r="L1" s="3" t="s">
        <v>642</v>
      </c>
      <c r="M1" s="3" t="s">
        <v>649</v>
      </c>
    </row>
    <row r="2" spans="1:13" ht="79.5" customHeight="1">
      <c r="A2" s="4" t="s">
        <v>44</v>
      </c>
      <c r="B2" s="4" t="s">
        <v>45</v>
      </c>
      <c r="C2" s="3">
        <v>1</v>
      </c>
      <c r="D2" s="3" t="s">
        <v>10</v>
      </c>
      <c r="E2" s="58" t="s">
        <v>11</v>
      </c>
      <c r="F2" s="3" t="s">
        <v>10</v>
      </c>
      <c r="G2" s="58" t="s">
        <v>11</v>
      </c>
      <c r="H2" s="3" t="s">
        <v>10</v>
      </c>
      <c r="I2" s="58" t="s">
        <v>11</v>
      </c>
      <c r="J2" s="3" t="s">
        <v>16</v>
      </c>
      <c r="K2" s="58" t="s">
        <v>11</v>
      </c>
      <c r="L2" s="3" t="s">
        <v>12</v>
      </c>
    </row>
    <row r="3" spans="1:13" ht="59.25" customHeight="1">
      <c r="A3" s="4" t="s">
        <v>47</v>
      </c>
      <c r="B3" s="4" t="s">
        <v>48</v>
      </c>
      <c r="C3" s="3">
        <v>5000</v>
      </c>
      <c r="D3" s="3" t="s">
        <v>49</v>
      </c>
      <c r="E3" s="58" t="s">
        <v>49</v>
      </c>
      <c r="F3" s="3" t="s">
        <v>49</v>
      </c>
      <c r="G3" s="58" t="s">
        <v>49</v>
      </c>
      <c r="H3" s="3" t="s">
        <v>49</v>
      </c>
      <c r="I3" s="58" t="s">
        <v>51</v>
      </c>
      <c r="J3" s="3" t="s">
        <v>49</v>
      </c>
      <c r="K3" s="58">
        <v>10416</v>
      </c>
      <c r="L3" s="3">
        <v>100</v>
      </c>
      <c r="M3" s="89"/>
    </row>
    <row r="4" spans="1:13" ht="75.75" customHeight="1">
      <c r="A4" s="4" t="s">
        <v>52</v>
      </c>
      <c r="B4" s="4" t="s">
        <v>52</v>
      </c>
      <c r="C4" s="3">
        <v>1</v>
      </c>
      <c r="D4" s="3" t="s">
        <v>16</v>
      </c>
      <c r="E4" s="58" t="s">
        <v>16</v>
      </c>
      <c r="F4" s="3" t="s">
        <v>16</v>
      </c>
      <c r="G4" s="58" t="s">
        <v>16</v>
      </c>
      <c r="H4" s="3" t="s">
        <v>16</v>
      </c>
      <c r="I4" s="58" t="s">
        <v>16</v>
      </c>
      <c r="J4" s="3" t="s">
        <v>16</v>
      </c>
      <c r="K4" s="58" t="s">
        <v>16</v>
      </c>
      <c r="L4" s="3">
        <v>100</v>
      </c>
      <c r="M4" s="89"/>
    </row>
    <row r="5" spans="1:13" ht="94.5" customHeight="1">
      <c r="A5" s="4" t="s">
        <v>54</v>
      </c>
      <c r="B5" s="4" t="s">
        <v>55</v>
      </c>
      <c r="C5" s="3">
        <v>20</v>
      </c>
      <c r="D5" s="3" t="s">
        <v>10</v>
      </c>
      <c r="E5" s="58" t="s">
        <v>11</v>
      </c>
      <c r="F5" s="3" t="s">
        <v>56</v>
      </c>
      <c r="G5" s="58" t="s">
        <v>57</v>
      </c>
      <c r="H5" s="3" t="s">
        <v>56</v>
      </c>
      <c r="I5" s="58" t="s">
        <v>60</v>
      </c>
      <c r="J5" s="3" t="s">
        <v>13</v>
      </c>
      <c r="K5" s="58">
        <v>11</v>
      </c>
      <c r="L5" s="3">
        <v>100</v>
      </c>
      <c r="M5" s="89"/>
    </row>
    <row r="6" spans="1:13" ht="105">
      <c r="A6" s="4" t="s">
        <v>63</v>
      </c>
      <c r="B6" s="4" t="s">
        <v>63</v>
      </c>
      <c r="C6" s="3">
        <v>1</v>
      </c>
      <c r="D6" s="3" t="s">
        <v>16</v>
      </c>
      <c r="E6" s="58" t="s">
        <v>16</v>
      </c>
      <c r="F6" s="3" t="s">
        <v>16</v>
      </c>
      <c r="G6" s="58" t="s">
        <v>16</v>
      </c>
      <c r="H6" s="3" t="s">
        <v>16</v>
      </c>
      <c r="I6" s="58" t="s">
        <v>16</v>
      </c>
      <c r="J6" s="3" t="s">
        <v>16</v>
      </c>
      <c r="K6" s="58" t="s">
        <v>16</v>
      </c>
      <c r="L6" s="3">
        <v>100</v>
      </c>
      <c r="M6" s="89"/>
    </row>
    <row r="7" spans="1:13" ht="90">
      <c r="A7" s="4" t="s">
        <v>65</v>
      </c>
      <c r="B7" s="4" t="s">
        <v>66</v>
      </c>
      <c r="C7" s="3">
        <v>2625</v>
      </c>
      <c r="D7" s="3" t="s">
        <v>67</v>
      </c>
      <c r="E7" s="58" t="s">
        <v>67</v>
      </c>
      <c r="F7" s="3" t="s">
        <v>68</v>
      </c>
      <c r="G7" s="58" t="s">
        <v>68</v>
      </c>
      <c r="H7" s="3" t="s">
        <v>69</v>
      </c>
      <c r="I7" s="58" t="s">
        <v>70</v>
      </c>
      <c r="J7" s="3" t="s">
        <v>69</v>
      </c>
      <c r="K7" s="58">
        <v>2749</v>
      </c>
      <c r="L7" s="3">
        <v>100</v>
      </c>
      <c r="M7" s="89"/>
    </row>
    <row r="8" spans="1:13" ht="30">
      <c r="A8" s="4" t="s">
        <v>71</v>
      </c>
      <c r="B8" s="4" t="s">
        <v>589</v>
      </c>
      <c r="C8" s="3">
        <v>1</v>
      </c>
      <c r="D8" s="3" t="s">
        <v>16</v>
      </c>
      <c r="E8" s="58" t="s">
        <v>16</v>
      </c>
      <c r="F8" s="3" t="s">
        <v>16</v>
      </c>
      <c r="G8" s="58" t="s">
        <v>16</v>
      </c>
      <c r="H8" s="3" t="s">
        <v>16</v>
      </c>
      <c r="I8" s="58" t="s">
        <v>16</v>
      </c>
      <c r="J8" s="3" t="s">
        <v>16</v>
      </c>
      <c r="K8" s="58" t="s">
        <v>16</v>
      </c>
      <c r="L8" s="3">
        <v>100</v>
      </c>
      <c r="M8" s="89"/>
    </row>
    <row r="9" spans="1:13" ht="60">
      <c r="A9" s="4" t="s">
        <v>73</v>
      </c>
      <c r="B9" s="4" t="s">
        <v>74</v>
      </c>
      <c r="C9" s="3">
        <v>4</v>
      </c>
      <c r="D9" s="3" t="s">
        <v>16</v>
      </c>
      <c r="E9" s="58" t="s">
        <v>16</v>
      </c>
      <c r="F9" s="3" t="s">
        <v>16</v>
      </c>
      <c r="G9" s="58" t="s">
        <v>16</v>
      </c>
      <c r="H9" s="3" t="s">
        <v>16</v>
      </c>
      <c r="I9" s="58" t="s">
        <v>16</v>
      </c>
      <c r="J9" s="3" t="s">
        <v>16</v>
      </c>
      <c r="K9" s="58" t="s">
        <v>16</v>
      </c>
      <c r="L9" s="3">
        <v>100</v>
      </c>
      <c r="M9" s="89"/>
    </row>
    <row r="10" spans="1:13" ht="50.25" customHeight="1">
      <c r="A10" s="4" t="s">
        <v>75</v>
      </c>
      <c r="B10" s="4" t="s">
        <v>76</v>
      </c>
      <c r="C10" s="3">
        <v>1</v>
      </c>
      <c r="D10" s="3" t="s">
        <v>77</v>
      </c>
      <c r="E10" s="58" t="s">
        <v>29</v>
      </c>
      <c r="F10" s="3" t="s">
        <v>77</v>
      </c>
      <c r="G10" s="58" t="s">
        <v>7</v>
      </c>
      <c r="H10" s="3" t="s">
        <v>78</v>
      </c>
      <c r="I10" s="58" t="s">
        <v>79</v>
      </c>
      <c r="J10" s="3" t="s">
        <v>80</v>
      </c>
      <c r="K10" s="58" t="s">
        <v>11</v>
      </c>
      <c r="L10" s="3">
        <v>5</v>
      </c>
      <c r="M10" s="59"/>
    </row>
    <row r="11" spans="1:13" ht="71.25" customHeight="1">
      <c r="A11" s="4" t="s">
        <v>82</v>
      </c>
      <c r="B11" s="4" t="s">
        <v>83</v>
      </c>
      <c r="C11" s="3">
        <v>8</v>
      </c>
      <c r="D11" s="3" t="s">
        <v>13</v>
      </c>
      <c r="E11" s="58" t="s">
        <v>16</v>
      </c>
      <c r="F11" s="3" t="s">
        <v>13</v>
      </c>
      <c r="G11" s="58" t="s">
        <v>13</v>
      </c>
      <c r="H11" s="3" t="s">
        <v>13</v>
      </c>
      <c r="I11" s="58" t="s">
        <v>13</v>
      </c>
      <c r="J11" s="3" t="s">
        <v>84</v>
      </c>
      <c r="K11" s="58" t="s">
        <v>13</v>
      </c>
      <c r="L11" s="3">
        <v>87.5</v>
      </c>
      <c r="M11" s="89"/>
    </row>
    <row r="12" spans="1:13" ht="75">
      <c r="A12" s="4" t="s">
        <v>86</v>
      </c>
      <c r="B12" s="4" t="s">
        <v>87</v>
      </c>
      <c r="C12" s="3">
        <v>2</v>
      </c>
      <c r="D12" s="3" t="s">
        <v>10</v>
      </c>
      <c r="E12" s="58" t="s">
        <v>11</v>
      </c>
      <c r="F12" s="3" t="s">
        <v>10</v>
      </c>
      <c r="G12" s="58" t="s">
        <v>11</v>
      </c>
      <c r="H12" s="3" t="s">
        <v>13</v>
      </c>
      <c r="I12" s="58" t="s">
        <v>13</v>
      </c>
      <c r="J12" s="3" t="s">
        <v>10</v>
      </c>
      <c r="K12" s="58">
        <v>1</v>
      </c>
      <c r="L12" s="3">
        <v>100</v>
      </c>
      <c r="M12" s="89"/>
    </row>
    <row r="13" spans="1:13" ht="79.5" customHeight="1">
      <c r="A13" s="4" t="s">
        <v>88</v>
      </c>
      <c r="B13" s="4" t="s">
        <v>89</v>
      </c>
      <c r="C13" s="3">
        <v>1</v>
      </c>
      <c r="D13" s="3" t="s">
        <v>10</v>
      </c>
      <c r="E13" s="58" t="s">
        <v>11</v>
      </c>
      <c r="F13" s="3" t="s">
        <v>91</v>
      </c>
      <c r="G13" s="58" t="s">
        <v>7</v>
      </c>
      <c r="H13" s="3" t="s">
        <v>91</v>
      </c>
      <c r="I13" s="58" t="s">
        <v>79</v>
      </c>
      <c r="J13" s="3" t="s">
        <v>80</v>
      </c>
      <c r="K13" s="58" t="s">
        <v>11</v>
      </c>
      <c r="L13" s="3">
        <v>5</v>
      </c>
      <c r="M13" s="59"/>
    </row>
    <row r="14" spans="1:13" ht="48" customHeight="1">
      <c r="A14" s="4" t="s">
        <v>93</v>
      </c>
      <c r="B14" s="4" t="s">
        <v>94</v>
      </c>
      <c r="C14" s="3">
        <v>2000</v>
      </c>
      <c r="D14" s="3" t="s">
        <v>10</v>
      </c>
      <c r="E14" s="58" t="s">
        <v>11</v>
      </c>
      <c r="F14" s="3" t="s">
        <v>95</v>
      </c>
      <c r="G14" s="58" t="s">
        <v>95</v>
      </c>
      <c r="H14" s="3" t="s">
        <v>95</v>
      </c>
      <c r="I14" s="58" t="s">
        <v>96</v>
      </c>
      <c r="J14" s="3" t="s">
        <v>98</v>
      </c>
      <c r="K14" s="58">
        <v>3122</v>
      </c>
      <c r="L14" s="3">
        <v>100</v>
      </c>
      <c r="M14" s="89"/>
    </row>
    <row r="15" spans="1:13" ht="78.75" customHeight="1">
      <c r="A15" s="4" t="s">
        <v>100</v>
      </c>
      <c r="B15" s="4" t="s">
        <v>101</v>
      </c>
      <c r="C15" s="3">
        <v>48</v>
      </c>
      <c r="D15" s="3" t="s">
        <v>102</v>
      </c>
      <c r="E15" s="58" t="s">
        <v>102</v>
      </c>
      <c r="F15" s="3" t="s">
        <v>102</v>
      </c>
      <c r="G15" s="58" t="s">
        <v>104</v>
      </c>
      <c r="H15" s="3" t="s">
        <v>102</v>
      </c>
      <c r="I15" s="58" t="s">
        <v>105</v>
      </c>
      <c r="J15" s="3" t="s">
        <v>106</v>
      </c>
      <c r="K15" s="58" t="s">
        <v>107</v>
      </c>
      <c r="L15" s="3">
        <v>100</v>
      </c>
      <c r="M15" s="89"/>
    </row>
    <row r="16" spans="1:13" ht="125.25" customHeight="1">
      <c r="A16" s="4" t="s">
        <v>109</v>
      </c>
      <c r="B16" s="4" t="s">
        <v>111</v>
      </c>
      <c r="C16" s="3">
        <v>1</v>
      </c>
      <c r="D16" s="3" t="s">
        <v>10</v>
      </c>
      <c r="E16" s="58" t="s">
        <v>11</v>
      </c>
      <c r="F16" s="3" t="s">
        <v>10</v>
      </c>
      <c r="G16" s="58" t="s">
        <v>11</v>
      </c>
      <c r="H16" s="3" t="s">
        <v>10</v>
      </c>
      <c r="I16" s="58" t="s">
        <v>29</v>
      </c>
      <c r="J16" s="3" t="s">
        <v>16</v>
      </c>
      <c r="K16" s="58" t="s">
        <v>77</v>
      </c>
      <c r="L16" s="3">
        <v>20</v>
      </c>
      <c r="M16" s="59"/>
    </row>
    <row r="17" spans="1:13" ht="109.5" customHeight="1">
      <c r="A17" s="4" t="s">
        <v>110</v>
      </c>
      <c r="B17" s="4" t="s">
        <v>113</v>
      </c>
      <c r="C17" s="3">
        <v>1</v>
      </c>
      <c r="D17" s="3" t="s">
        <v>16</v>
      </c>
      <c r="E17" s="58" t="s">
        <v>16</v>
      </c>
      <c r="F17" s="3" t="s">
        <v>16</v>
      </c>
      <c r="G17" s="58" t="s">
        <v>16</v>
      </c>
      <c r="H17" s="3" t="s">
        <v>16</v>
      </c>
      <c r="I17" s="58" t="s">
        <v>114</v>
      </c>
      <c r="J17" s="3" t="s">
        <v>16</v>
      </c>
      <c r="K17" s="58" t="s">
        <v>16</v>
      </c>
      <c r="L17" s="3">
        <v>100</v>
      </c>
      <c r="M17" s="89"/>
    </row>
    <row r="18" spans="1:13" ht="90">
      <c r="A18" s="4" t="s">
        <v>116</v>
      </c>
      <c r="B18" s="4" t="s">
        <v>117</v>
      </c>
      <c r="C18" s="3">
        <v>2</v>
      </c>
      <c r="D18" s="3" t="s">
        <v>13</v>
      </c>
      <c r="E18" s="58" t="s">
        <v>11</v>
      </c>
      <c r="F18" s="3" t="s">
        <v>13</v>
      </c>
      <c r="G18" s="58" t="s">
        <v>13</v>
      </c>
      <c r="H18" s="3" t="s">
        <v>13</v>
      </c>
      <c r="I18" s="58" t="s">
        <v>13</v>
      </c>
      <c r="J18" s="3" t="s">
        <v>13</v>
      </c>
      <c r="K18" s="58" t="s">
        <v>13</v>
      </c>
      <c r="L18" s="3">
        <v>100</v>
      </c>
      <c r="M18" s="89"/>
    </row>
    <row r="19" spans="1:13">
      <c r="A19" s="4"/>
      <c r="B19" s="4"/>
      <c r="L19" s="3">
        <f>SUBTOTAL(109,ReporteAvancePlanIndicativo34[Consolidado %])/16</f>
        <v>82.34375</v>
      </c>
    </row>
  </sheetData>
  <phoneticPr fontId="4" type="noConversion"/>
  <pageMargins left="0.7" right="0.7" top="0.75" bottom="0.75" header="0.3" footer="0.3"/>
  <pageSetup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BD864-03F9-481C-AFAC-3EA3D126EEF8}">
  <dimension ref="A1:W20"/>
  <sheetViews>
    <sheetView topLeftCell="C14" workbookViewId="0">
      <selection activeCell="P21" sqref="P21"/>
    </sheetView>
  </sheetViews>
  <sheetFormatPr baseColWidth="10" defaultColWidth="9.140625" defaultRowHeight="15"/>
  <cols>
    <col min="1" max="1" width="24.28515625" style="2" customWidth="1"/>
    <col min="2" max="2" width="29.85546875" style="2" customWidth="1"/>
    <col min="3" max="3" width="12.7109375" style="2" customWidth="1"/>
    <col min="4" max="4" width="12.85546875" style="2" customWidth="1"/>
    <col min="5" max="5" width="10.42578125" style="2" customWidth="1"/>
    <col min="6" max="6" width="12.140625" style="2" customWidth="1"/>
    <col min="7" max="7" width="13.85546875" style="2" customWidth="1"/>
    <col min="8" max="8" width="17.42578125" style="2" customWidth="1"/>
    <col min="9" max="9" width="12.5703125" style="2" customWidth="1"/>
    <col min="10" max="10" width="13.28515625" style="2" customWidth="1"/>
    <col min="11" max="11" width="12.28515625" style="2" customWidth="1"/>
    <col min="12" max="12" width="14" style="2" customWidth="1"/>
    <col min="13" max="13" width="14.28515625" style="2" customWidth="1"/>
    <col min="14" max="14" width="13.85546875" style="2" customWidth="1"/>
    <col min="15" max="15" width="13.28515625" style="2" customWidth="1"/>
    <col min="16" max="16" width="13" style="2" customWidth="1"/>
    <col min="17" max="17" width="13.42578125" style="2" customWidth="1"/>
    <col min="18" max="18" width="17.42578125" style="2" customWidth="1"/>
    <col min="19" max="19" width="12.7109375" style="2" customWidth="1"/>
    <col min="20" max="20" width="13.5703125" style="2" customWidth="1"/>
    <col min="21" max="21" width="13.42578125" style="2" customWidth="1"/>
    <col min="22" max="22" width="13.7109375" style="2" customWidth="1"/>
    <col min="23" max="23" width="30.28515625" style="2" customWidth="1"/>
    <col min="24" max="27" width="17.42578125" style="2" customWidth="1"/>
    <col min="28" max="16384" width="9.140625" style="2"/>
  </cols>
  <sheetData>
    <row r="1" spans="1:23" s="3" customFormat="1" ht="30">
      <c r="A1" s="3" t="s">
        <v>566</v>
      </c>
      <c r="B1" s="3" t="s">
        <v>567</v>
      </c>
      <c r="C1" s="3" t="s">
        <v>568</v>
      </c>
      <c r="D1" s="3" t="s">
        <v>569</v>
      </c>
      <c r="E1" s="3" t="s">
        <v>570</v>
      </c>
      <c r="F1" s="3" t="s">
        <v>571</v>
      </c>
      <c r="G1" s="3" t="s">
        <v>572</v>
      </c>
      <c r="H1" s="3" t="s">
        <v>573</v>
      </c>
      <c r="I1" s="3" t="s">
        <v>574</v>
      </c>
      <c r="J1" s="3" t="s">
        <v>575</v>
      </c>
      <c r="K1" s="3" t="s">
        <v>576</v>
      </c>
      <c r="L1" s="3" t="s">
        <v>577</v>
      </c>
      <c r="M1" s="3" t="s">
        <v>578</v>
      </c>
      <c r="N1" s="3" t="s">
        <v>579</v>
      </c>
      <c r="O1" s="3" t="s">
        <v>580</v>
      </c>
      <c r="P1" s="3" t="s">
        <v>581</v>
      </c>
      <c r="Q1" s="3" t="s">
        <v>582</v>
      </c>
      <c r="R1" s="3" t="s">
        <v>583</v>
      </c>
      <c r="S1" s="3" t="s">
        <v>584</v>
      </c>
      <c r="T1" s="3" t="s">
        <v>585</v>
      </c>
      <c r="U1" s="3" t="s">
        <v>586</v>
      </c>
      <c r="V1" s="3" t="s">
        <v>587</v>
      </c>
      <c r="W1" s="3" t="s">
        <v>588</v>
      </c>
    </row>
    <row r="2" spans="1:23" ht="94.5" customHeight="1">
      <c r="A2" s="2" t="s">
        <v>233</v>
      </c>
      <c r="B2" s="2" t="s">
        <v>234</v>
      </c>
      <c r="C2" s="2">
        <v>841</v>
      </c>
      <c r="D2" s="2" t="s">
        <v>235</v>
      </c>
      <c r="E2" s="2" t="s">
        <v>235</v>
      </c>
      <c r="F2" s="2">
        <v>100</v>
      </c>
      <c r="G2" s="2" t="s">
        <v>5</v>
      </c>
      <c r="I2" s="2" t="s">
        <v>235</v>
      </c>
      <c r="J2" s="2" t="s">
        <v>235</v>
      </c>
      <c r="K2" s="2">
        <v>100</v>
      </c>
      <c r="L2" s="2" t="s">
        <v>5</v>
      </c>
      <c r="N2" s="2" t="s">
        <v>235</v>
      </c>
      <c r="O2" s="2" t="s">
        <v>236</v>
      </c>
      <c r="P2" s="2">
        <v>100</v>
      </c>
      <c r="Q2" s="2" t="s">
        <v>5</v>
      </c>
      <c r="S2" s="2" t="s">
        <v>235</v>
      </c>
      <c r="T2" s="2" t="s">
        <v>236</v>
      </c>
      <c r="U2" s="2">
        <v>100</v>
      </c>
      <c r="V2" s="2" t="s">
        <v>5</v>
      </c>
      <c r="W2" s="2" t="s">
        <v>140</v>
      </c>
    </row>
    <row r="3" spans="1:23" ht="60" customHeight="1">
      <c r="A3" s="2" t="s">
        <v>237</v>
      </c>
      <c r="B3" s="2" t="s">
        <v>238</v>
      </c>
      <c r="C3" s="2">
        <v>11</v>
      </c>
      <c r="D3" s="2" t="s">
        <v>13</v>
      </c>
      <c r="E3" s="2" t="s">
        <v>16</v>
      </c>
      <c r="F3" s="2">
        <v>50</v>
      </c>
      <c r="G3" s="2" t="s">
        <v>18</v>
      </c>
      <c r="I3" s="2" t="s">
        <v>84</v>
      </c>
      <c r="J3" s="2" t="s">
        <v>84</v>
      </c>
      <c r="K3" s="2">
        <v>100</v>
      </c>
      <c r="L3" s="2" t="s">
        <v>5</v>
      </c>
      <c r="N3" s="2" t="s">
        <v>84</v>
      </c>
      <c r="O3" s="2" t="s">
        <v>84</v>
      </c>
      <c r="P3" s="2">
        <v>100</v>
      </c>
      <c r="Q3" s="2" t="s">
        <v>5</v>
      </c>
      <c r="S3" s="2" t="s">
        <v>84</v>
      </c>
      <c r="T3" s="2" t="s">
        <v>239</v>
      </c>
      <c r="U3" s="2">
        <v>43.33</v>
      </c>
      <c r="V3" s="2" t="s">
        <v>18</v>
      </c>
      <c r="W3" s="2" t="s">
        <v>140</v>
      </c>
    </row>
    <row r="4" spans="1:23" ht="100.5" customHeight="1">
      <c r="A4" s="2" t="s">
        <v>185</v>
      </c>
      <c r="B4" s="2" t="s">
        <v>240</v>
      </c>
      <c r="C4" s="2">
        <v>3</v>
      </c>
      <c r="D4" s="2" t="s">
        <v>10</v>
      </c>
      <c r="E4" s="2" t="s">
        <v>11</v>
      </c>
      <c r="F4" s="2">
        <v>0</v>
      </c>
      <c r="I4" s="2" t="s">
        <v>10</v>
      </c>
      <c r="J4" s="2" t="s">
        <v>11</v>
      </c>
      <c r="K4" s="2">
        <v>0</v>
      </c>
      <c r="N4" s="2" t="s">
        <v>84</v>
      </c>
      <c r="O4" s="2" t="s">
        <v>29</v>
      </c>
      <c r="P4" s="2">
        <v>0</v>
      </c>
      <c r="Q4" s="2" t="s">
        <v>14</v>
      </c>
      <c r="S4" s="2" t="s">
        <v>10</v>
      </c>
      <c r="T4" s="2" t="s">
        <v>11</v>
      </c>
      <c r="U4" s="2">
        <v>0</v>
      </c>
      <c r="V4" s="2" t="s">
        <v>14</v>
      </c>
      <c r="W4" s="2" t="s">
        <v>590</v>
      </c>
    </row>
    <row r="5" spans="1:23" ht="60">
      <c r="A5" s="2" t="s">
        <v>241</v>
      </c>
      <c r="B5" s="2" t="s">
        <v>242</v>
      </c>
      <c r="C5" s="2">
        <v>1100</v>
      </c>
      <c r="D5" s="2" t="s">
        <v>243</v>
      </c>
      <c r="E5" s="2" t="s">
        <v>243</v>
      </c>
      <c r="F5" s="2">
        <v>100</v>
      </c>
      <c r="G5" s="2" t="s">
        <v>5</v>
      </c>
      <c r="I5" s="2" t="s">
        <v>244</v>
      </c>
      <c r="J5" s="2" t="s">
        <v>244</v>
      </c>
      <c r="K5" s="2">
        <v>100</v>
      </c>
      <c r="L5" s="2" t="s">
        <v>5</v>
      </c>
      <c r="N5" s="2" t="s">
        <v>245</v>
      </c>
      <c r="O5" s="2" t="s">
        <v>245</v>
      </c>
      <c r="P5" s="2">
        <v>100</v>
      </c>
      <c r="Q5" s="2" t="s">
        <v>5</v>
      </c>
      <c r="S5" s="2" t="s">
        <v>246</v>
      </c>
      <c r="T5" s="2" t="s">
        <v>246</v>
      </c>
      <c r="U5" s="2">
        <v>100</v>
      </c>
      <c r="V5" s="2" t="s">
        <v>5</v>
      </c>
    </row>
    <row r="6" spans="1:23" ht="90" customHeight="1">
      <c r="A6" s="2" t="s">
        <v>247</v>
      </c>
      <c r="B6" s="2" t="s">
        <v>248</v>
      </c>
      <c r="C6" s="2">
        <v>685</v>
      </c>
      <c r="D6" s="2" t="s">
        <v>249</v>
      </c>
      <c r="E6" s="2" t="s">
        <v>249</v>
      </c>
      <c r="F6" s="2">
        <v>100</v>
      </c>
      <c r="G6" s="2" t="s">
        <v>5</v>
      </c>
      <c r="H6" s="2" t="s">
        <v>250</v>
      </c>
      <c r="I6" s="2" t="s">
        <v>249</v>
      </c>
      <c r="J6" s="2" t="s">
        <v>249</v>
      </c>
      <c r="K6" s="2">
        <v>100</v>
      </c>
      <c r="L6" s="2" t="s">
        <v>5</v>
      </c>
      <c r="N6" s="2" t="s">
        <v>249</v>
      </c>
      <c r="O6" s="2" t="s">
        <v>251</v>
      </c>
      <c r="P6" s="2">
        <v>100</v>
      </c>
      <c r="Q6" s="2" t="s">
        <v>5</v>
      </c>
      <c r="S6" s="2" t="s">
        <v>249</v>
      </c>
      <c r="T6" s="2" t="s">
        <v>249</v>
      </c>
      <c r="U6" s="2">
        <v>100</v>
      </c>
      <c r="V6" s="2" t="s">
        <v>5</v>
      </c>
      <c r="W6" s="2" t="s">
        <v>140</v>
      </c>
    </row>
    <row r="7" spans="1:23" ht="93.75" customHeight="1">
      <c r="A7" s="2" t="s">
        <v>252</v>
      </c>
      <c r="B7" s="2" t="s">
        <v>253</v>
      </c>
      <c r="C7" s="2">
        <v>6000</v>
      </c>
      <c r="D7" s="2" t="s">
        <v>10</v>
      </c>
      <c r="E7" s="2" t="s">
        <v>11</v>
      </c>
      <c r="F7" s="2">
        <v>0</v>
      </c>
      <c r="I7" s="2" t="s">
        <v>10</v>
      </c>
      <c r="J7" s="2" t="s">
        <v>11</v>
      </c>
      <c r="K7" s="2">
        <v>0</v>
      </c>
      <c r="N7" s="2" t="s">
        <v>254</v>
      </c>
      <c r="O7" s="2" t="s">
        <v>29</v>
      </c>
      <c r="P7" s="2">
        <v>0</v>
      </c>
      <c r="Q7" s="2" t="s">
        <v>14</v>
      </c>
      <c r="S7" s="2" t="s">
        <v>255</v>
      </c>
      <c r="T7" s="2" t="s">
        <v>11</v>
      </c>
      <c r="U7" s="2">
        <v>0</v>
      </c>
      <c r="V7" s="2" t="s">
        <v>14</v>
      </c>
      <c r="W7" s="2" t="s">
        <v>256</v>
      </c>
    </row>
    <row r="8" spans="1:23" ht="75">
      <c r="A8" s="2" t="s">
        <v>257</v>
      </c>
      <c r="B8" s="2" t="s">
        <v>258</v>
      </c>
      <c r="C8" s="2">
        <v>9</v>
      </c>
      <c r="D8" s="2" t="s">
        <v>16</v>
      </c>
      <c r="E8" s="2" t="s">
        <v>16</v>
      </c>
      <c r="F8" s="2">
        <v>100</v>
      </c>
      <c r="G8" s="2" t="s">
        <v>5</v>
      </c>
      <c r="I8" s="2" t="s">
        <v>84</v>
      </c>
      <c r="J8" s="2" t="s">
        <v>84</v>
      </c>
      <c r="K8" s="2">
        <v>100</v>
      </c>
      <c r="L8" s="2" t="s">
        <v>5</v>
      </c>
      <c r="N8" s="2" t="s">
        <v>206</v>
      </c>
      <c r="O8" s="2" t="s">
        <v>206</v>
      </c>
      <c r="P8" s="2">
        <v>100</v>
      </c>
      <c r="Q8" s="2" t="s">
        <v>5</v>
      </c>
      <c r="S8" s="2">
        <v>3</v>
      </c>
      <c r="T8" s="2" t="s">
        <v>84</v>
      </c>
      <c r="U8" s="2">
        <v>100</v>
      </c>
      <c r="V8" s="2" t="s">
        <v>5</v>
      </c>
    </row>
    <row r="9" spans="1:23" ht="60">
      <c r="A9" s="2" t="s">
        <v>259</v>
      </c>
      <c r="B9" s="2" t="s">
        <v>260</v>
      </c>
      <c r="C9" s="2">
        <v>1367</v>
      </c>
      <c r="D9" s="2" t="s">
        <v>261</v>
      </c>
      <c r="E9" s="2" t="s">
        <v>261</v>
      </c>
      <c r="F9" s="2">
        <v>100</v>
      </c>
      <c r="G9" s="2" t="s">
        <v>5</v>
      </c>
      <c r="H9" s="2" t="s">
        <v>262</v>
      </c>
      <c r="I9" s="2" t="s">
        <v>263</v>
      </c>
      <c r="J9" s="2" t="s">
        <v>263</v>
      </c>
      <c r="K9" s="2">
        <v>100</v>
      </c>
      <c r="L9" s="2" t="s">
        <v>5</v>
      </c>
      <c r="N9" s="2" t="s">
        <v>263</v>
      </c>
      <c r="O9" s="2" t="s">
        <v>263</v>
      </c>
      <c r="P9" s="2">
        <v>100</v>
      </c>
      <c r="Q9" s="2" t="s">
        <v>5</v>
      </c>
      <c r="R9" s="2" t="s">
        <v>264</v>
      </c>
      <c r="S9" s="2" t="s">
        <v>263</v>
      </c>
      <c r="T9" s="2">
        <v>380</v>
      </c>
      <c r="U9" s="2">
        <v>100</v>
      </c>
      <c r="V9" s="2" t="s">
        <v>5</v>
      </c>
      <c r="W9" s="2" t="s">
        <v>601</v>
      </c>
    </row>
    <row r="10" spans="1:23" ht="90">
      <c r="A10" s="2" t="s">
        <v>266</v>
      </c>
      <c r="B10" s="2" t="s">
        <v>267</v>
      </c>
      <c r="C10" s="2">
        <v>300</v>
      </c>
      <c r="D10" s="2" t="s">
        <v>265</v>
      </c>
      <c r="E10" s="2" t="s">
        <v>265</v>
      </c>
      <c r="F10" s="2">
        <v>100</v>
      </c>
      <c r="G10" s="2" t="s">
        <v>5</v>
      </c>
      <c r="I10" s="2" t="s">
        <v>265</v>
      </c>
      <c r="J10" s="2" t="s">
        <v>265</v>
      </c>
      <c r="K10" s="2">
        <v>100</v>
      </c>
      <c r="L10" s="2" t="s">
        <v>5</v>
      </c>
      <c r="N10" s="2" t="s">
        <v>265</v>
      </c>
      <c r="O10" s="2" t="s">
        <v>265</v>
      </c>
      <c r="P10" s="2">
        <v>100</v>
      </c>
      <c r="Q10" s="2" t="s">
        <v>5</v>
      </c>
      <c r="S10" s="2" t="s">
        <v>265</v>
      </c>
      <c r="T10" s="2" t="s">
        <v>265</v>
      </c>
      <c r="U10" s="2">
        <v>100</v>
      </c>
      <c r="V10" s="2" t="s">
        <v>5</v>
      </c>
    </row>
    <row r="11" spans="1:23" ht="30">
      <c r="A11" s="2" t="s">
        <v>268</v>
      </c>
      <c r="B11" s="2" t="s">
        <v>269</v>
      </c>
      <c r="C11" s="2">
        <v>10</v>
      </c>
      <c r="D11" s="2" t="s">
        <v>16</v>
      </c>
      <c r="E11" s="2" t="s">
        <v>16</v>
      </c>
      <c r="F11" s="2">
        <v>100</v>
      </c>
      <c r="G11" s="2" t="s">
        <v>5</v>
      </c>
      <c r="I11" s="2" t="s">
        <v>212</v>
      </c>
      <c r="J11" s="2" t="s">
        <v>84</v>
      </c>
      <c r="K11" s="2">
        <v>75</v>
      </c>
      <c r="L11" s="2" t="s">
        <v>108</v>
      </c>
      <c r="N11" s="2" t="s">
        <v>57</v>
      </c>
      <c r="O11" s="2" t="s">
        <v>206</v>
      </c>
      <c r="P11" s="2">
        <v>85.71</v>
      </c>
      <c r="Q11" s="2" t="s">
        <v>5</v>
      </c>
      <c r="R11" s="2" t="s">
        <v>270</v>
      </c>
      <c r="S11" s="2" t="s">
        <v>56</v>
      </c>
      <c r="T11" s="2">
        <v>8</v>
      </c>
      <c r="U11" s="4">
        <v>80</v>
      </c>
      <c r="V11" s="2" t="s">
        <v>602</v>
      </c>
    </row>
    <row r="12" spans="1:23" ht="30">
      <c r="A12" s="2" t="s">
        <v>268</v>
      </c>
      <c r="B12" s="2" t="s">
        <v>272</v>
      </c>
      <c r="C12" s="2">
        <v>4</v>
      </c>
      <c r="D12" s="2" t="s">
        <v>16</v>
      </c>
      <c r="E12" s="2" t="s">
        <v>16</v>
      </c>
      <c r="F12" s="2">
        <v>100</v>
      </c>
      <c r="G12" s="2" t="s">
        <v>5</v>
      </c>
      <c r="I12" s="2" t="s">
        <v>16</v>
      </c>
      <c r="J12" s="2" t="s">
        <v>7</v>
      </c>
      <c r="K12" s="2">
        <v>0</v>
      </c>
      <c r="L12" s="2" t="s">
        <v>14</v>
      </c>
      <c r="N12" s="2" t="s">
        <v>16</v>
      </c>
      <c r="O12" s="2" t="s">
        <v>11</v>
      </c>
      <c r="P12" s="2">
        <v>0</v>
      </c>
      <c r="Q12" s="2" t="s">
        <v>14</v>
      </c>
      <c r="R12" s="2" t="s">
        <v>273</v>
      </c>
      <c r="S12" s="2" t="s">
        <v>16</v>
      </c>
      <c r="T12" s="2" t="s">
        <v>206</v>
      </c>
      <c r="U12" s="2">
        <v>100</v>
      </c>
      <c r="V12" s="2" t="s">
        <v>5</v>
      </c>
    </row>
    <row r="13" spans="1:23" ht="64.5" customHeight="1">
      <c r="A13" s="2" t="s">
        <v>274</v>
      </c>
      <c r="B13" s="2" t="s">
        <v>275</v>
      </c>
      <c r="C13" s="2">
        <v>8</v>
      </c>
      <c r="D13" s="2" t="s">
        <v>13</v>
      </c>
      <c r="E13" s="2" t="s">
        <v>29</v>
      </c>
      <c r="F13" s="2">
        <v>0</v>
      </c>
      <c r="G13" s="2" t="s">
        <v>14</v>
      </c>
      <c r="I13" s="2" t="s">
        <v>13</v>
      </c>
      <c r="J13" s="2" t="s">
        <v>13</v>
      </c>
      <c r="K13" s="2">
        <v>100</v>
      </c>
      <c r="L13" s="2" t="s">
        <v>5</v>
      </c>
      <c r="N13" s="2" t="s">
        <v>13</v>
      </c>
      <c r="O13" s="2" t="s">
        <v>29</v>
      </c>
      <c r="P13" s="2">
        <v>0</v>
      </c>
      <c r="Q13" s="2" t="s">
        <v>14</v>
      </c>
      <c r="R13" s="2" t="s">
        <v>276</v>
      </c>
      <c r="S13" s="2" t="s">
        <v>13</v>
      </c>
      <c r="T13" s="2" t="s">
        <v>11</v>
      </c>
      <c r="U13" s="2">
        <v>0</v>
      </c>
      <c r="V13" s="4" t="s">
        <v>14</v>
      </c>
      <c r="W13" s="2" t="s">
        <v>277</v>
      </c>
    </row>
    <row r="14" spans="1:23" ht="60">
      <c r="A14" s="2" t="s">
        <v>271</v>
      </c>
      <c r="B14" s="2" t="s">
        <v>278</v>
      </c>
      <c r="C14" s="2">
        <v>1</v>
      </c>
      <c r="D14" s="2" t="s">
        <v>16</v>
      </c>
      <c r="E14" s="2" t="s">
        <v>16</v>
      </c>
      <c r="F14" s="2">
        <v>100</v>
      </c>
      <c r="G14" s="2" t="s">
        <v>5</v>
      </c>
      <c r="H14" s="2" t="s">
        <v>200</v>
      </c>
      <c r="I14" s="2" t="s">
        <v>16</v>
      </c>
      <c r="J14" s="2" t="s">
        <v>16</v>
      </c>
      <c r="K14" s="2">
        <v>100</v>
      </c>
      <c r="L14" s="2" t="s">
        <v>5</v>
      </c>
      <c r="N14" s="2" t="s">
        <v>16</v>
      </c>
      <c r="O14" s="2" t="s">
        <v>16</v>
      </c>
      <c r="P14" s="2">
        <v>100</v>
      </c>
      <c r="Q14" s="2" t="s">
        <v>5</v>
      </c>
      <c r="S14" s="2" t="s">
        <v>16</v>
      </c>
      <c r="T14" s="2" t="s">
        <v>16</v>
      </c>
      <c r="U14" s="2">
        <v>100</v>
      </c>
      <c r="V14" s="2" t="s">
        <v>5</v>
      </c>
    </row>
    <row r="15" spans="1:23" ht="66" customHeight="1">
      <c r="A15" s="2" t="s">
        <v>279</v>
      </c>
      <c r="B15" s="2" t="s">
        <v>280</v>
      </c>
      <c r="C15" s="2">
        <v>472</v>
      </c>
      <c r="D15" s="2" t="s">
        <v>281</v>
      </c>
      <c r="E15" s="2" t="s">
        <v>281</v>
      </c>
      <c r="F15" s="2">
        <v>100</v>
      </c>
      <c r="G15" s="2" t="s">
        <v>5</v>
      </c>
      <c r="I15" s="2" t="s">
        <v>281</v>
      </c>
      <c r="J15" s="2" t="s">
        <v>281</v>
      </c>
      <c r="K15" s="2">
        <v>100</v>
      </c>
      <c r="L15" s="2" t="s">
        <v>5</v>
      </c>
      <c r="N15" s="2" t="s">
        <v>281</v>
      </c>
      <c r="O15" s="2" t="s">
        <v>282</v>
      </c>
      <c r="P15" s="2">
        <v>100</v>
      </c>
      <c r="Q15" s="2" t="s">
        <v>5</v>
      </c>
      <c r="S15" s="2" t="s">
        <v>281</v>
      </c>
      <c r="T15" s="4">
        <v>803</v>
      </c>
      <c r="U15" s="2">
        <v>100</v>
      </c>
      <c r="V15" s="2" t="s">
        <v>5</v>
      </c>
      <c r="W15" s="2" t="s">
        <v>140</v>
      </c>
    </row>
    <row r="16" spans="1:23" ht="75.75" customHeight="1">
      <c r="A16" s="2" t="s">
        <v>283</v>
      </c>
      <c r="B16" s="2" t="s">
        <v>284</v>
      </c>
      <c r="C16" s="2">
        <v>574</v>
      </c>
      <c r="D16" s="2" t="s">
        <v>285</v>
      </c>
      <c r="E16" s="2" t="s">
        <v>285</v>
      </c>
      <c r="F16" s="2">
        <v>100</v>
      </c>
      <c r="G16" s="2" t="s">
        <v>5</v>
      </c>
      <c r="I16" s="2" t="s">
        <v>285</v>
      </c>
      <c r="J16" s="2" t="s">
        <v>263</v>
      </c>
      <c r="K16" s="2">
        <v>66.2</v>
      </c>
      <c r="L16" s="2" t="s">
        <v>59</v>
      </c>
      <c r="N16" s="2" t="s">
        <v>285</v>
      </c>
      <c r="O16" s="2" t="s">
        <v>286</v>
      </c>
      <c r="P16" s="2">
        <v>100</v>
      </c>
      <c r="Q16" s="2" t="s">
        <v>5</v>
      </c>
      <c r="S16" s="2" t="s">
        <v>285</v>
      </c>
      <c r="T16" s="4">
        <v>591</v>
      </c>
      <c r="U16" s="2">
        <v>98.26</v>
      </c>
      <c r="V16" s="2" t="s">
        <v>5</v>
      </c>
      <c r="W16" s="2" t="s">
        <v>140</v>
      </c>
    </row>
    <row r="17" spans="1:23" ht="60">
      <c r="A17" s="2" t="s">
        <v>287</v>
      </c>
      <c r="B17" s="2" t="s">
        <v>288</v>
      </c>
      <c r="C17" s="2">
        <v>70</v>
      </c>
      <c r="D17" s="2" t="s">
        <v>56</v>
      </c>
      <c r="E17" s="2" t="s">
        <v>56</v>
      </c>
      <c r="F17" s="2">
        <v>100</v>
      </c>
      <c r="G17" s="2" t="s">
        <v>5</v>
      </c>
      <c r="I17" s="2" t="s">
        <v>56</v>
      </c>
      <c r="J17" s="2" t="s">
        <v>56</v>
      </c>
      <c r="K17" s="2">
        <v>100</v>
      </c>
      <c r="L17" s="2" t="s">
        <v>5</v>
      </c>
      <c r="N17" s="2" t="s">
        <v>92</v>
      </c>
      <c r="O17" s="2" t="s">
        <v>289</v>
      </c>
      <c r="P17" s="2">
        <v>100</v>
      </c>
      <c r="Q17" s="2" t="s">
        <v>5</v>
      </c>
      <c r="S17" s="2" t="s">
        <v>222</v>
      </c>
      <c r="T17" s="2">
        <v>54</v>
      </c>
      <c r="U17" s="2">
        <v>100</v>
      </c>
      <c r="V17" s="2" t="s">
        <v>5</v>
      </c>
    </row>
    <row r="18" spans="1:23" ht="36.75" customHeight="1">
      <c r="A18" s="2" t="s">
        <v>287</v>
      </c>
      <c r="B18" s="2" t="s">
        <v>290</v>
      </c>
      <c r="C18" s="2">
        <v>2000</v>
      </c>
      <c r="D18" s="2" t="s">
        <v>4</v>
      </c>
      <c r="E18" s="2" t="s">
        <v>4</v>
      </c>
      <c r="F18" s="2">
        <v>100</v>
      </c>
      <c r="G18" s="2" t="s">
        <v>5</v>
      </c>
      <c r="I18" s="2" t="s">
        <v>265</v>
      </c>
      <c r="J18" s="2" t="s">
        <v>265</v>
      </c>
      <c r="K18" s="2">
        <v>100</v>
      </c>
      <c r="L18" s="2" t="s">
        <v>5</v>
      </c>
      <c r="N18" s="2" t="s">
        <v>282</v>
      </c>
      <c r="O18" s="2" t="s">
        <v>291</v>
      </c>
      <c r="P18" s="2">
        <v>100</v>
      </c>
      <c r="Q18" s="2" t="s">
        <v>5</v>
      </c>
      <c r="S18" s="2" t="s">
        <v>98</v>
      </c>
      <c r="T18" s="2" t="s">
        <v>292</v>
      </c>
      <c r="U18" s="2">
        <v>100</v>
      </c>
      <c r="V18" s="2" t="s">
        <v>5</v>
      </c>
      <c r="W18" s="2" t="s">
        <v>140</v>
      </c>
    </row>
    <row r="19" spans="1:23" ht="45">
      <c r="A19" s="2" t="s">
        <v>252</v>
      </c>
      <c r="B19" s="2" t="s">
        <v>293</v>
      </c>
      <c r="C19" s="2">
        <v>5000</v>
      </c>
      <c r="D19" s="2" t="s">
        <v>98</v>
      </c>
      <c r="E19" s="2" t="s">
        <v>11</v>
      </c>
      <c r="F19" s="2">
        <v>0</v>
      </c>
      <c r="G19" s="2" t="s">
        <v>14</v>
      </c>
      <c r="I19" s="2" t="s">
        <v>294</v>
      </c>
      <c r="J19" s="2" t="s">
        <v>7</v>
      </c>
      <c r="K19" s="2">
        <v>0</v>
      </c>
      <c r="L19" s="2" t="s">
        <v>14</v>
      </c>
      <c r="N19" s="2" t="s">
        <v>295</v>
      </c>
      <c r="O19" s="2" t="s">
        <v>295</v>
      </c>
      <c r="P19" s="2">
        <v>100</v>
      </c>
      <c r="Q19" s="2" t="s">
        <v>5</v>
      </c>
      <c r="S19" s="2" t="s">
        <v>295</v>
      </c>
      <c r="T19" s="2" t="s">
        <v>296</v>
      </c>
      <c r="U19" s="2">
        <v>68</v>
      </c>
      <c r="V19" s="2" t="s">
        <v>59</v>
      </c>
      <c r="W19" s="2" t="s">
        <v>140</v>
      </c>
    </row>
    <row r="20" spans="1:23">
      <c r="F20" s="2">
        <f>SUBTOTAL(109,ReporteAvancePlanIndicativo353[% Avance 2020])/16</f>
        <v>84.375</v>
      </c>
      <c r="K20" s="2">
        <f>SUBTOTAL(109,ReporteAvancePlanIndicativo353[% Avance 2021])/16</f>
        <v>83.825000000000003</v>
      </c>
      <c r="P20" s="2">
        <f>SUBTOTAL(109,ReporteAvancePlanIndicativo353[% Avance 2022])/18</f>
        <v>76.983888888888885</v>
      </c>
      <c r="U20" s="2">
        <f>SUBTOTAL(109,ReporteAvancePlanIndicativo353[% Avance 2023])/18</f>
        <v>77.199444444444438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0"/>
  <sheetViews>
    <sheetView workbookViewId="0">
      <selection sqref="A1:M19"/>
    </sheetView>
  </sheetViews>
  <sheetFormatPr baseColWidth="10" defaultColWidth="9.140625" defaultRowHeight="15"/>
  <cols>
    <col min="1" max="1" width="24.28515625" style="2" customWidth="1"/>
    <col min="2" max="2" width="29.85546875" style="2" customWidth="1"/>
    <col min="3" max="3" width="12.7109375" style="2" customWidth="1"/>
    <col min="4" max="4" width="12.85546875" style="2" customWidth="1"/>
    <col min="5" max="5" width="10.42578125" style="2" customWidth="1"/>
    <col min="6" max="6" width="12.5703125" style="2" customWidth="1"/>
    <col min="7" max="7" width="13.28515625" style="2" customWidth="1"/>
    <col min="8" max="8" width="13.85546875" style="2" customWidth="1"/>
    <col min="9" max="9" width="13.28515625" style="2" customWidth="1"/>
    <col min="10" max="10" width="12.7109375" style="2" customWidth="1"/>
    <col min="11" max="11" width="13.5703125" style="2" customWidth="1"/>
    <col min="12" max="12" width="15" style="2" customWidth="1"/>
    <col min="13" max="13" width="10.28515625" style="2" customWidth="1"/>
    <col min="14" max="15" width="17.42578125" style="2" customWidth="1"/>
    <col min="16" max="16384" width="9.140625" style="2"/>
  </cols>
  <sheetData>
    <row r="1" spans="1:13" s="3" customFormat="1" ht="30">
      <c r="A1" s="3" t="s">
        <v>566</v>
      </c>
      <c r="B1" s="3" t="s">
        <v>567</v>
      </c>
      <c r="C1" s="3" t="s">
        <v>568</v>
      </c>
      <c r="D1" s="3" t="s">
        <v>569</v>
      </c>
      <c r="E1" s="3" t="s">
        <v>570</v>
      </c>
      <c r="F1" s="3" t="s">
        <v>574</v>
      </c>
      <c r="G1" s="3" t="s">
        <v>575</v>
      </c>
      <c r="H1" s="3" t="s">
        <v>579</v>
      </c>
      <c r="I1" s="3" t="s">
        <v>580</v>
      </c>
      <c r="J1" s="3" t="s">
        <v>584</v>
      </c>
      <c r="K1" s="3" t="s">
        <v>585</v>
      </c>
      <c r="L1" s="3" t="s">
        <v>643</v>
      </c>
      <c r="M1" s="3" t="s">
        <v>649</v>
      </c>
    </row>
    <row r="2" spans="1:13" ht="94.5" customHeight="1">
      <c r="A2" s="2" t="s">
        <v>233</v>
      </c>
      <c r="B2" s="2" t="s">
        <v>234</v>
      </c>
      <c r="C2" s="2">
        <v>841</v>
      </c>
      <c r="D2" s="2" t="s">
        <v>235</v>
      </c>
      <c r="E2" s="60" t="s">
        <v>235</v>
      </c>
      <c r="F2" s="2" t="s">
        <v>235</v>
      </c>
      <c r="G2" s="60" t="s">
        <v>235</v>
      </c>
      <c r="H2" s="2" t="s">
        <v>235</v>
      </c>
      <c r="I2" s="60" t="s">
        <v>236</v>
      </c>
      <c r="J2" s="2" t="s">
        <v>235</v>
      </c>
      <c r="K2" s="60" t="s">
        <v>236</v>
      </c>
      <c r="L2" s="2">
        <v>100</v>
      </c>
      <c r="M2" s="91"/>
    </row>
    <row r="3" spans="1:13" ht="60" customHeight="1">
      <c r="A3" s="2" t="s">
        <v>237</v>
      </c>
      <c r="B3" s="2" t="s">
        <v>238</v>
      </c>
      <c r="C3" s="2">
        <v>11</v>
      </c>
      <c r="D3" s="2" t="s">
        <v>13</v>
      </c>
      <c r="E3" s="60" t="s">
        <v>16</v>
      </c>
      <c r="F3" s="2" t="s">
        <v>84</v>
      </c>
      <c r="G3" s="60" t="s">
        <v>84</v>
      </c>
      <c r="H3" s="2" t="s">
        <v>84</v>
      </c>
      <c r="I3" s="60" t="s">
        <v>84</v>
      </c>
      <c r="J3" s="2" t="s">
        <v>84</v>
      </c>
      <c r="K3" s="60" t="s">
        <v>239</v>
      </c>
      <c r="L3" s="2">
        <v>75.45</v>
      </c>
      <c r="M3" s="92"/>
    </row>
    <row r="4" spans="1:13" ht="100.5" customHeight="1">
      <c r="A4" s="2" t="s">
        <v>185</v>
      </c>
      <c r="B4" s="2" t="s">
        <v>240</v>
      </c>
      <c r="C4" s="2">
        <v>3</v>
      </c>
      <c r="D4" s="2" t="s">
        <v>10</v>
      </c>
      <c r="E4" s="60" t="s">
        <v>11</v>
      </c>
      <c r="F4" s="2" t="s">
        <v>10</v>
      </c>
      <c r="G4" s="60" t="s">
        <v>11</v>
      </c>
      <c r="H4" s="2" t="s">
        <v>84</v>
      </c>
      <c r="I4" s="60" t="s">
        <v>29</v>
      </c>
      <c r="J4" s="2" t="s">
        <v>10</v>
      </c>
      <c r="K4" s="60" t="s">
        <v>11</v>
      </c>
      <c r="L4" s="2">
        <v>0</v>
      </c>
      <c r="M4" s="90"/>
    </row>
    <row r="5" spans="1:13" ht="60">
      <c r="A5" s="2" t="s">
        <v>241</v>
      </c>
      <c r="B5" s="2" t="s">
        <v>242</v>
      </c>
      <c r="C5" s="2">
        <v>1100</v>
      </c>
      <c r="D5" s="2" t="s">
        <v>243</v>
      </c>
      <c r="E5" s="60" t="s">
        <v>243</v>
      </c>
      <c r="F5" s="2" t="s">
        <v>244</v>
      </c>
      <c r="G5" s="60" t="s">
        <v>244</v>
      </c>
      <c r="H5" s="2" t="s">
        <v>245</v>
      </c>
      <c r="I5" s="60" t="s">
        <v>245</v>
      </c>
      <c r="J5" s="2" t="s">
        <v>246</v>
      </c>
      <c r="K5" s="60" t="s">
        <v>246</v>
      </c>
      <c r="L5" s="2">
        <v>91.71</v>
      </c>
      <c r="M5" s="91"/>
    </row>
    <row r="6" spans="1:13" ht="90" customHeight="1">
      <c r="A6" s="2" t="s">
        <v>247</v>
      </c>
      <c r="B6" s="2" t="s">
        <v>248</v>
      </c>
      <c r="C6" s="2">
        <v>685</v>
      </c>
      <c r="D6" s="2" t="s">
        <v>249</v>
      </c>
      <c r="E6" s="60" t="s">
        <v>249</v>
      </c>
      <c r="F6" s="2" t="s">
        <v>249</v>
      </c>
      <c r="G6" s="60" t="s">
        <v>249</v>
      </c>
      <c r="H6" s="2" t="s">
        <v>249</v>
      </c>
      <c r="I6" s="60" t="s">
        <v>251</v>
      </c>
      <c r="J6" s="2" t="s">
        <v>249</v>
      </c>
      <c r="K6" s="60" t="s">
        <v>249</v>
      </c>
      <c r="L6" s="2">
        <v>100</v>
      </c>
      <c r="M6" s="91"/>
    </row>
    <row r="7" spans="1:13" ht="93.75" customHeight="1">
      <c r="A7" s="2" t="s">
        <v>252</v>
      </c>
      <c r="B7" s="2" t="s">
        <v>253</v>
      </c>
      <c r="C7" s="2">
        <v>6000</v>
      </c>
      <c r="D7" s="2" t="s">
        <v>10</v>
      </c>
      <c r="E7" s="60" t="s">
        <v>11</v>
      </c>
      <c r="F7" s="2" t="s">
        <v>10</v>
      </c>
      <c r="G7" s="60" t="s">
        <v>11</v>
      </c>
      <c r="H7" s="2" t="s">
        <v>254</v>
      </c>
      <c r="I7" s="60" t="s">
        <v>29</v>
      </c>
      <c r="J7" s="2" t="s">
        <v>255</v>
      </c>
      <c r="K7" s="60" t="s">
        <v>11</v>
      </c>
      <c r="L7" s="2">
        <v>0</v>
      </c>
      <c r="M7" s="90"/>
    </row>
    <row r="8" spans="1:13" ht="75">
      <c r="A8" s="2" t="s">
        <v>257</v>
      </c>
      <c r="B8" s="2" t="s">
        <v>258</v>
      </c>
      <c r="C8" s="2">
        <v>9</v>
      </c>
      <c r="D8" s="2" t="s">
        <v>16</v>
      </c>
      <c r="E8" s="60" t="s">
        <v>16</v>
      </c>
      <c r="F8" s="2" t="s">
        <v>84</v>
      </c>
      <c r="G8" s="60" t="s">
        <v>84</v>
      </c>
      <c r="H8" s="2" t="s">
        <v>206</v>
      </c>
      <c r="I8" s="60" t="s">
        <v>206</v>
      </c>
      <c r="J8" s="2">
        <v>3</v>
      </c>
      <c r="K8" s="60" t="s">
        <v>84</v>
      </c>
      <c r="L8" s="2">
        <v>100</v>
      </c>
      <c r="M8" s="91"/>
    </row>
    <row r="9" spans="1:13" ht="30">
      <c r="A9" s="2" t="s">
        <v>259</v>
      </c>
      <c r="B9" s="2" t="s">
        <v>260</v>
      </c>
      <c r="C9" s="2">
        <v>1367</v>
      </c>
      <c r="D9" s="2" t="s">
        <v>261</v>
      </c>
      <c r="E9" s="60" t="s">
        <v>261</v>
      </c>
      <c r="F9" s="2" t="s">
        <v>263</v>
      </c>
      <c r="G9" s="60" t="s">
        <v>263</v>
      </c>
      <c r="H9" s="2" t="s">
        <v>263</v>
      </c>
      <c r="I9" s="60" t="s">
        <v>263</v>
      </c>
      <c r="J9" s="2" t="s">
        <v>263</v>
      </c>
      <c r="K9" s="60">
        <v>380</v>
      </c>
      <c r="L9" s="2">
        <v>100</v>
      </c>
      <c r="M9" s="91"/>
    </row>
    <row r="10" spans="1:13" ht="90">
      <c r="A10" s="2" t="s">
        <v>266</v>
      </c>
      <c r="B10" s="2" t="s">
        <v>267</v>
      </c>
      <c r="C10" s="2">
        <v>300</v>
      </c>
      <c r="D10" s="2" t="s">
        <v>265</v>
      </c>
      <c r="E10" s="60" t="s">
        <v>265</v>
      </c>
      <c r="F10" s="2" t="s">
        <v>265</v>
      </c>
      <c r="G10" s="60" t="s">
        <v>265</v>
      </c>
      <c r="H10" s="2" t="s">
        <v>265</v>
      </c>
      <c r="I10" s="60" t="s">
        <v>265</v>
      </c>
      <c r="J10" s="2" t="s">
        <v>265</v>
      </c>
      <c r="K10" s="60" t="s">
        <v>265</v>
      </c>
      <c r="L10" s="2">
        <v>100</v>
      </c>
      <c r="M10" s="91"/>
    </row>
    <row r="11" spans="1:13" ht="30">
      <c r="A11" s="2" t="s">
        <v>268</v>
      </c>
      <c r="B11" s="2" t="s">
        <v>269</v>
      </c>
      <c r="C11" s="2">
        <v>10</v>
      </c>
      <c r="D11" s="2" t="s">
        <v>16</v>
      </c>
      <c r="E11" s="60" t="s">
        <v>16</v>
      </c>
      <c r="F11" s="2" t="s">
        <v>212</v>
      </c>
      <c r="G11" s="60" t="s">
        <v>84</v>
      </c>
      <c r="H11" s="2" t="s">
        <v>57</v>
      </c>
      <c r="I11" s="60" t="s">
        <v>206</v>
      </c>
      <c r="J11" s="2" t="s">
        <v>56</v>
      </c>
      <c r="K11" s="60">
        <v>8</v>
      </c>
      <c r="L11" s="2">
        <v>100</v>
      </c>
      <c r="M11" s="91"/>
    </row>
    <row r="12" spans="1:13" ht="30">
      <c r="A12" s="2" t="s">
        <v>268</v>
      </c>
      <c r="B12" s="2" t="s">
        <v>272</v>
      </c>
      <c r="C12" s="2">
        <v>4</v>
      </c>
      <c r="D12" s="2" t="s">
        <v>16</v>
      </c>
      <c r="E12" s="60" t="s">
        <v>16</v>
      </c>
      <c r="F12" s="2" t="s">
        <v>16</v>
      </c>
      <c r="G12" s="60" t="s">
        <v>7</v>
      </c>
      <c r="H12" s="2" t="s">
        <v>16</v>
      </c>
      <c r="I12" s="60" t="s">
        <v>11</v>
      </c>
      <c r="J12" s="2" t="s">
        <v>16</v>
      </c>
      <c r="K12" s="60" t="s">
        <v>206</v>
      </c>
      <c r="L12" s="2">
        <v>100</v>
      </c>
      <c r="M12" s="91"/>
    </row>
    <row r="13" spans="1:13" ht="64.5" customHeight="1">
      <c r="A13" s="2" t="s">
        <v>274</v>
      </c>
      <c r="B13" s="2" t="s">
        <v>275</v>
      </c>
      <c r="C13" s="2">
        <v>8</v>
      </c>
      <c r="D13" s="2" t="s">
        <v>13</v>
      </c>
      <c r="E13" s="60" t="s">
        <v>29</v>
      </c>
      <c r="F13" s="2" t="s">
        <v>13</v>
      </c>
      <c r="G13" s="60" t="s">
        <v>13</v>
      </c>
      <c r="H13" s="2" t="s">
        <v>13</v>
      </c>
      <c r="I13" s="60" t="s">
        <v>29</v>
      </c>
      <c r="J13" s="2" t="s">
        <v>13</v>
      </c>
      <c r="K13" s="60" t="s">
        <v>11</v>
      </c>
      <c r="L13" s="2">
        <v>100</v>
      </c>
      <c r="M13" s="91"/>
    </row>
    <row r="14" spans="1:13" ht="60">
      <c r="A14" s="2" t="s">
        <v>271</v>
      </c>
      <c r="B14" s="2" t="s">
        <v>278</v>
      </c>
      <c r="C14" s="2">
        <v>1</v>
      </c>
      <c r="D14" s="2" t="s">
        <v>16</v>
      </c>
      <c r="E14" s="60" t="s">
        <v>16</v>
      </c>
      <c r="F14" s="2" t="s">
        <v>16</v>
      </c>
      <c r="G14" s="60" t="s">
        <v>16</v>
      </c>
      <c r="H14" s="2" t="s">
        <v>16</v>
      </c>
      <c r="I14" s="60" t="s">
        <v>16</v>
      </c>
      <c r="J14" s="2" t="s">
        <v>16</v>
      </c>
      <c r="K14" s="60" t="s">
        <v>16</v>
      </c>
      <c r="L14" s="2">
        <v>100</v>
      </c>
      <c r="M14" s="91"/>
    </row>
    <row r="15" spans="1:13" ht="66" customHeight="1">
      <c r="A15" s="2" t="s">
        <v>279</v>
      </c>
      <c r="B15" s="2" t="s">
        <v>280</v>
      </c>
      <c r="C15" s="2">
        <v>472</v>
      </c>
      <c r="D15" s="2" t="s">
        <v>281</v>
      </c>
      <c r="E15" s="60" t="s">
        <v>281</v>
      </c>
      <c r="F15" s="2" t="s">
        <v>281</v>
      </c>
      <c r="G15" s="60" t="s">
        <v>281</v>
      </c>
      <c r="H15" s="2" t="s">
        <v>281</v>
      </c>
      <c r="I15" s="60" t="s">
        <v>282</v>
      </c>
      <c r="J15" s="2" t="s">
        <v>281</v>
      </c>
      <c r="K15" s="61">
        <v>803</v>
      </c>
      <c r="L15" s="2">
        <v>100</v>
      </c>
      <c r="M15" s="91"/>
    </row>
    <row r="16" spans="1:13" ht="75.75" customHeight="1">
      <c r="A16" s="2" t="s">
        <v>283</v>
      </c>
      <c r="B16" s="2" t="s">
        <v>284</v>
      </c>
      <c r="C16" s="2">
        <v>574</v>
      </c>
      <c r="D16" s="2" t="s">
        <v>285</v>
      </c>
      <c r="E16" s="60" t="s">
        <v>285</v>
      </c>
      <c r="F16" s="2" t="s">
        <v>285</v>
      </c>
      <c r="G16" s="60" t="s">
        <v>263</v>
      </c>
      <c r="H16" s="2" t="s">
        <v>285</v>
      </c>
      <c r="I16" s="60" t="s">
        <v>286</v>
      </c>
      <c r="J16" s="2" t="s">
        <v>285</v>
      </c>
      <c r="K16" s="61">
        <v>591</v>
      </c>
      <c r="L16" s="2">
        <v>100</v>
      </c>
      <c r="M16" s="91"/>
    </row>
    <row r="17" spans="1:13" ht="60">
      <c r="A17" s="2" t="s">
        <v>287</v>
      </c>
      <c r="B17" s="2" t="s">
        <v>288</v>
      </c>
      <c r="C17" s="2">
        <v>70</v>
      </c>
      <c r="D17" s="2" t="s">
        <v>56</v>
      </c>
      <c r="E17" s="60" t="s">
        <v>56</v>
      </c>
      <c r="F17" s="2" t="s">
        <v>56</v>
      </c>
      <c r="G17" s="60" t="s">
        <v>56</v>
      </c>
      <c r="H17" s="2" t="s">
        <v>92</v>
      </c>
      <c r="I17" s="60" t="s">
        <v>289</v>
      </c>
      <c r="J17" s="2" t="s">
        <v>222</v>
      </c>
      <c r="K17" s="60">
        <v>54</v>
      </c>
      <c r="L17" s="2">
        <v>100</v>
      </c>
      <c r="M17" s="91"/>
    </row>
    <row r="18" spans="1:13" ht="36.75" customHeight="1">
      <c r="A18" s="2" t="s">
        <v>287</v>
      </c>
      <c r="B18" s="2" t="s">
        <v>290</v>
      </c>
      <c r="C18" s="2">
        <v>2000</v>
      </c>
      <c r="D18" s="2" t="s">
        <v>4</v>
      </c>
      <c r="E18" s="60" t="s">
        <v>4</v>
      </c>
      <c r="F18" s="2" t="s">
        <v>265</v>
      </c>
      <c r="G18" s="60" t="s">
        <v>265</v>
      </c>
      <c r="H18" s="2" t="s">
        <v>282</v>
      </c>
      <c r="I18" s="60" t="s">
        <v>291</v>
      </c>
      <c r="J18" s="2" t="s">
        <v>98</v>
      </c>
      <c r="K18" s="60" t="s">
        <v>292</v>
      </c>
      <c r="L18" s="2">
        <v>100</v>
      </c>
      <c r="M18" s="91"/>
    </row>
    <row r="19" spans="1:13" ht="45">
      <c r="A19" s="2" t="s">
        <v>252</v>
      </c>
      <c r="B19" s="2" t="s">
        <v>293</v>
      </c>
      <c r="C19" s="2">
        <v>5000</v>
      </c>
      <c r="D19" s="2" t="s">
        <v>98</v>
      </c>
      <c r="E19" s="60" t="s">
        <v>11</v>
      </c>
      <c r="F19" s="2" t="s">
        <v>294</v>
      </c>
      <c r="G19" s="60" t="s">
        <v>7</v>
      </c>
      <c r="H19" s="2" t="s">
        <v>295</v>
      </c>
      <c r="I19" s="60" t="s">
        <v>295</v>
      </c>
      <c r="J19" s="2" t="s">
        <v>295</v>
      </c>
      <c r="K19" s="60" t="s">
        <v>296</v>
      </c>
      <c r="L19" s="2">
        <v>84</v>
      </c>
      <c r="M19" s="91"/>
    </row>
    <row r="20" spans="1:13">
      <c r="L20" s="2">
        <f>SUBTOTAL(109,ReporteAvancePlanIndicativo35[Consolidado 2020 - 2023])/18</f>
        <v>86.175555555555547</v>
      </c>
    </row>
  </sheetData>
  <phoneticPr fontId="4"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2D66C-BE8F-47D8-AC5D-D7E45C078BD5}">
  <dimension ref="A1:M16"/>
  <sheetViews>
    <sheetView topLeftCell="A9" workbookViewId="0">
      <selection activeCell="C18" sqref="C18"/>
    </sheetView>
  </sheetViews>
  <sheetFormatPr baseColWidth="10" defaultColWidth="9.140625" defaultRowHeight="15"/>
  <cols>
    <col min="1" max="1" width="24.7109375" style="2" customWidth="1"/>
    <col min="2" max="2" width="25.85546875" style="2" customWidth="1"/>
    <col min="3" max="4" width="14.5703125" style="2" customWidth="1"/>
    <col min="5" max="5" width="12.28515625" style="2" customWidth="1"/>
    <col min="6" max="6" width="14.140625" style="2" customWidth="1"/>
    <col min="7" max="7" width="12.140625" style="2" customWidth="1"/>
    <col min="8" max="8" width="14.5703125" style="2" customWidth="1"/>
    <col min="9" max="9" width="11.42578125" style="2" customWidth="1"/>
    <col min="10" max="10" width="14.5703125" style="2" customWidth="1"/>
    <col min="11" max="11" width="12.5703125" style="2" customWidth="1"/>
    <col min="12" max="12" width="14.5703125" style="2" customWidth="1"/>
    <col min="13" max="16384" width="9.140625" style="2"/>
  </cols>
  <sheetData>
    <row r="1" spans="1:13" s="3" customFormat="1" ht="30">
      <c r="A1" s="3" t="s">
        <v>566</v>
      </c>
      <c r="B1" s="3" t="s">
        <v>567</v>
      </c>
      <c r="C1" s="3" t="s">
        <v>568</v>
      </c>
      <c r="D1" s="3" t="s">
        <v>569</v>
      </c>
      <c r="E1" s="3" t="s">
        <v>570</v>
      </c>
      <c r="F1" s="3" t="s">
        <v>574</v>
      </c>
      <c r="G1" s="3" t="s">
        <v>575</v>
      </c>
      <c r="H1" s="3" t="s">
        <v>579</v>
      </c>
      <c r="I1" s="3" t="s">
        <v>580</v>
      </c>
      <c r="J1" s="3" t="s">
        <v>584</v>
      </c>
      <c r="K1" s="3" t="s">
        <v>585</v>
      </c>
      <c r="L1" s="3" t="s">
        <v>644</v>
      </c>
      <c r="M1" s="3" t="s">
        <v>649</v>
      </c>
    </row>
    <row r="2" spans="1:13" ht="45">
      <c r="A2" s="2" t="s">
        <v>183</v>
      </c>
      <c r="B2" s="2" t="s">
        <v>184</v>
      </c>
      <c r="C2" s="2">
        <v>100</v>
      </c>
      <c r="D2" s="2" t="s">
        <v>4</v>
      </c>
      <c r="E2" s="60" t="s">
        <v>4</v>
      </c>
      <c r="F2" s="2" t="s">
        <v>4</v>
      </c>
      <c r="G2" s="60" t="s">
        <v>4</v>
      </c>
      <c r="H2" s="2" t="s">
        <v>4</v>
      </c>
      <c r="I2" s="60" t="s">
        <v>4</v>
      </c>
      <c r="J2" s="2" t="s">
        <v>4</v>
      </c>
      <c r="K2" s="61">
        <v>90</v>
      </c>
      <c r="L2" s="2">
        <v>90</v>
      </c>
      <c r="M2" s="91"/>
    </row>
    <row r="3" spans="1:13" ht="98.25" customHeight="1">
      <c r="A3" s="2" t="s">
        <v>185</v>
      </c>
      <c r="B3" s="2" t="s">
        <v>186</v>
      </c>
      <c r="C3" s="2">
        <v>1</v>
      </c>
      <c r="D3" s="2" t="s">
        <v>91</v>
      </c>
      <c r="E3" s="60" t="s">
        <v>91</v>
      </c>
      <c r="F3" s="2" t="s">
        <v>91</v>
      </c>
      <c r="G3" s="60" t="s">
        <v>91</v>
      </c>
      <c r="H3" s="2" t="s">
        <v>91</v>
      </c>
      <c r="I3" s="60" t="s">
        <v>91</v>
      </c>
      <c r="J3" s="2" t="s">
        <v>91</v>
      </c>
      <c r="K3" s="61">
        <v>70</v>
      </c>
      <c r="L3" s="2">
        <v>100</v>
      </c>
      <c r="M3" s="91"/>
    </row>
    <row r="4" spans="1:13" ht="98.25" customHeight="1">
      <c r="A4" s="2" t="s">
        <v>88</v>
      </c>
      <c r="B4" s="2" t="s">
        <v>188</v>
      </c>
      <c r="C4" s="2">
        <v>1</v>
      </c>
      <c r="D4" s="2" t="s">
        <v>16</v>
      </c>
      <c r="E4" s="60" t="s">
        <v>16</v>
      </c>
      <c r="F4" s="2" t="s">
        <v>16</v>
      </c>
      <c r="G4" s="60" t="s">
        <v>16</v>
      </c>
      <c r="H4" s="2" t="s">
        <v>16</v>
      </c>
      <c r="I4" s="60" t="s">
        <v>16</v>
      </c>
      <c r="J4" s="2" t="s">
        <v>16</v>
      </c>
      <c r="K4" s="61">
        <v>80</v>
      </c>
      <c r="L4" s="2">
        <v>80</v>
      </c>
      <c r="M4" s="91"/>
    </row>
    <row r="5" spans="1:13" ht="67.5" customHeight="1">
      <c r="A5" s="2" t="s">
        <v>190</v>
      </c>
      <c r="B5" s="2" t="s">
        <v>191</v>
      </c>
      <c r="C5" s="2">
        <v>90</v>
      </c>
      <c r="D5" s="2" t="s">
        <v>192</v>
      </c>
      <c r="E5" s="60" t="s">
        <v>192</v>
      </c>
      <c r="F5" s="2" t="s">
        <v>192</v>
      </c>
      <c r="G5" s="60" t="s">
        <v>192</v>
      </c>
      <c r="H5" s="2" t="s">
        <v>192</v>
      </c>
      <c r="I5" s="60" t="s">
        <v>192</v>
      </c>
      <c r="J5" s="2" t="s">
        <v>192</v>
      </c>
      <c r="K5" s="61">
        <v>75</v>
      </c>
      <c r="L5" s="2">
        <v>75</v>
      </c>
      <c r="M5" s="92"/>
    </row>
    <row r="6" spans="1:13" ht="153" customHeight="1">
      <c r="A6" s="2" t="s">
        <v>194</v>
      </c>
      <c r="B6" s="2" t="s">
        <v>195</v>
      </c>
      <c r="C6" s="2">
        <v>80</v>
      </c>
      <c r="D6" s="2" t="s">
        <v>187</v>
      </c>
      <c r="E6" s="60" t="s">
        <v>187</v>
      </c>
      <c r="F6" s="2" t="s">
        <v>187</v>
      </c>
      <c r="G6" s="60" t="s">
        <v>187</v>
      </c>
      <c r="H6" s="2" t="s">
        <v>187</v>
      </c>
      <c r="I6" s="60" t="s">
        <v>187</v>
      </c>
      <c r="J6" s="2" t="s">
        <v>187</v>
      </c>
      <c r="K6" s="61" t="s">
        <v>163</v>
      </c>
      <c r="L6" s="2">
        <v>60</v>
      </c>
      <c r="M6" s="92"/>
    </row>
    <row r="7" spans="1:13" ht="70.5" customHeight="1">
      <c r="A7" s="2" t="s">
        <v>196</v>
      </c>
      <c r="B7" s="2" t="s">
        <v>197</v>
      </c>
      <c r="C7" s="2">
        <v>100</v>
      </c>
      <c r="D7" s="2" t="s">
        <v>10</v>
      </c>
      <c r="E7" s="60" t="s">
        <v>11</v>
      </c>
      <c r="F7" s="2" t="s">
        <v>4</v>
      </c>
      <c r="G7" s="60" t="s">
        <v>4</v>
      </c>
      <c r="H7" s="2" t="s">
        <v>4</v>
      </c>
      <c r="I7" s="60" t="s">
        <v>4</v>
      </c>
      <c r="J7" s="2" t="s">
        <v>4</v>
      </c>
      <c r="K7" s="61">
        <v>80</v>
      </c>
      <c r="L7" s="2">
        <v>80</v>
      </c>
      <c r="M7" s="91"/>
    </row>
    <row r="8" spans="1:13" ht="99" customHeight="1">
      <c r="A8" s="2" t="s">
        <v>198</v>
      </c>
      <c r="B8" s="2" t="s">
        <v>199</v>
      </c>
      <c r="C8" s="2">
        <v>70</v>
      </c>
      <c r="D8" s="2" t="s">
        <v>58</v>
      </c>
      <c r="E8" s="60" t="s">
        <v>58</v>
      </c>
      <c r="F8" s="2" t="s">
        <v>58</v>
      </c>
      <c r="G8" s="60" t="s">
        <v>58</v>
      </c>
      <c r="H8" s="2" t="s">
        <v>10</v>
      </c>
      <c r="I8" s="60" t="s">
        <v>11</v>
      </c>
      <c r="J8" s="2" t="s">
        <v>58</v>
      </c>
      <c r="K8" s="61">
        <v>58</v>
      </c>
      <c r="L8" s="2">
        <v>58</v>
      </c>
      <c r="M8" s="92"/>
    </row>
    <row r="9" spans="1:13" ht="96" customHeight="1">
      <c r="A9" s="2" t="s">
        <v>201</v>
      </c>
      <c r="B9" s="2" t="s">
        <v>202</v>
      </c>
      <c r="C9" s="2">
        <v>1</v>
      </c>
      <c r="D9" s="2" t="s">
        <v>10</v>
      </c>
      <c r="E9" s="60" t="s">
        <v>11</v>
      </c>
      <c r="F9" s="2" t="s">
        <v>16</v>
      </c>
      <c r="G9" s="60" t="s">
        <v>16</v>
      </c>
      <c r="H9" s="2" t="s">
        <v>16</v>
      </c>
      <c r="I9" s="60" t="s">
        <v>16</v>
      </c>
      <c r="J9" s="2" t="s">
        <v>16</v>
      </c>
      <c r="K9" s="61">
        <v>75</v>
      </c>
      <c r="L9" s="2">
        <v>75</v>
      </c>
      <c r="M9" s="92"/>
    </row>
    <row r="10" spans="1:13" ht="60">
      <c r="A10" s="2" t="s">
        <v>204</v>
      </c>
      <c r="B10" s="2" t="s">
        <v>205</v>
      </c>
      <c r="C10" s="2">
        <v>42</v>
      </c>
      <c r="D10" s="2" t="s">
        <v>206</v>
      </c>
      <c r="E10" s="60" t="s">
        <v>206</v>
      </c>
      <c r="F10" s="2" t="s">
        <v>178</v>
      </c>
      <c r="G10" s="60" t="s">
        <v>178</v>
      </c>
      <c r="H10" s="2" t="s">
        <v>10</v>
      </c>
      <c r="I10" s="60" t="s">
        <v>11</v>
      </c>
      <c r="J10" s="2" t="s">
        <v>92</v>
      </c>
      <c r="K10" s="61">
        <v>18</v>
      </c>
      <c r="L10" s="2">
        <v>95.23</v>
      </c>
      <c r="M10" s="91"/>
    </row>
    <row r="11" spans="1:13" ht="60">
      <c r="A11" s="2" t="s">
        <v>207</v>
      </c>
      <c r="B11" s="2" t="s">
        <v>208</v>
      </c>
      <c r="C11" s="2">
        <v>95</v>
      </c>
      <c r="D11" s="2" t="s">
        <v>209</v>
      </c>
      <c r="E11" s="60" t="s">
        <v>209</v>
      </c>
      <c r="F11" s="2" t="s">
        <v>209</v>
      </c>
      <c r="G11" s="60" t="s">
        <v>209</v>
      </c>
      <c r="H11" s="2" t="s">
        <v>209</v>
      </c>
      <c r="I11" s="60" t="s">
        <v>209</v>
      </c>
      <c r="J11" s="2" t="s">
        <v>209</v>
      </c>
      <c r="K11" s="61">
        <v>81</v>
      </c>
      <c r="L11" s="2">
        <v>81</v>
      </c>
      <c r="M11" s="91"/>
    </row>
    <row r="12" spans="1:13" ht="95.25" customHeight="1">
      <c r="A12" s="2" t="s">
        <v>210</v>
      </c>
      <c r="B12" s="2" t="s">
        <v>211</v>
      </c>
      <c r="C12" s="2">
        <v>20</v>
      </c>
      <c r="D12" s="2" t="s">
        <v>172</v>
      </c>
      <c r="E12" s="60" t="s">
        <v>172</v>
      </c>
      <c r="F12" s="2" t="s">
        <v>172</v>
      </c>
      <c r="G12" s="60" t="s">
        <v>212</v>
      </c>
      <c r="H12" s="2" t="s">
        <v>172</v>
      </c>
      <c r="I12" s="60" t="s">
        <v>172</v>
      </c>
      <c r="J12" s="2" t="s">
        <v>172</v>
      </c>
      <c r="K12" s="61">
        <v>4.2</v>
      </c>
      <c r="L12" s="2">
        <v>91</v>
      </c>
      <c r="M12" s="91"/>
    </row>
    <row r="13" spans="1:13" ht="78" customHeight="1">
      <c r="A13" s="2" t="s">
        <v>213</v>
      </c>
      <c r="B13" s="2" t="s">
        <v>214</v>
      </c>
      <c r="C13" s="2">
        <v>4319</v>
      </c>
      <c r="D13" s="2" t="s">
        <v>215</v>
      </c>
      <c r="E13" s="60" t="s">
        <v>215</v>
      </c>
      <c r="F13" s="2" t="s">
        <v>215</v>
      </c>
      <c r="G13" s="60" t="s">
        <v>216</v>
      </c>
      <c r="H13" s="2" t="s">
        <v>215</v>
      </c>
      <c r="I13" s="60" t="s">
        <v>217</v>
      </c>
      <c r="J13" s="2" t="s">
        <v>215</v>
      </c>
      <c r="K13" s="61">
        <v>8692</v>
      </c>
      <c r="L13" s="2">
        <v>100</v>
      </c>
      <c r="M13" s="91"/>
    </row>
    <row r="14" spans="1:13" ht="45">
      <c r="A14" s="2" t="s">
        <v>219</v>
      </c>
      <c r="B14" s="2" t="s">
        <v>220</v>
      </c>
      <c r="C14" s="2">
        <v>1</v>
      </c>
      <c r="D14" s="2" t="s">
        <v>16</v>
      </c>
      <c r="E14" s="60" t="s">
        <v>11</v>
      </c>
      <c r="F14" s="2" t="s">
        <v>16</v>
      </c>
      <c r="G14" s="60" t="s">
        <v>7</v>
      </c>
      <c r="H14" s="2" t="s">
        <v>10</v>
      </c>
      <c r="I14" s="60" t="s">
        <v>11</v>
      </c>
      <c r="J14" s="2" t="s">
        <v>16</v>
      </c>
      <c r="K14" s="61">
        <v>75</v>
      </c>
      <c r="L14" s="2">
        <v>75</v>
      </c>
      <c r="M14" s="92"/>
    </row>
    <row r="15" spans="1:13" ht="30">
      <c r="A15" s="2" t="s">
        <v>210</v>
      </c>
      <c r="B15" s="2" t="s">
        <v>224</v>
      </c>
      <c r="C15" s="2">
        <v>14</v>
      </c>
      <c r="D15" s="2" t="s">
        <v>13</v>
      </c>
      <c r="E15" s="60" t="s">
        <v>13</v>
      </c>
      <c r="F15" s="2" t="s">
        <v>172</v>
      </c>
      <c r="G15" s="60" t="s">
        <v>172</v>
      </c>
      <c r="H15" s="2" t="s">
        <v>172</v>
      </c>
      <c r="I15" s="60" t="s">
        <v>172</v>
      </c>
      <c r="J15" s="2" t="s">
        <v>13</v>
      </c>
      <c r="K15" s="61">
        <v>1.8</v>
      </c>
      <c r="L15" s="2">
        <v>100</v>
      </c>
      <c r="M15" s="91"/>
    </row>
    <row r="16" spans="1:13">
      <c r="K16" s="4"/>
      <c r="L16" s="2">
        <f>SUBTOTAL(109,ReporteAvancePlanIndicativo3610[Consolidado 2020 - 2023*])/14</f>
        <v>82.873571428571424</v>
      </c>
    </row>
  </sheetData>
  <phoneticPr fontId="4"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6"/>
  <sheetViews>
    <sheetView topLeftCell="C9" workbookViewId="0">
      <selection activeCell="P17" sqref="P17"/>
    </sheetView>
  </sheetViews>
  <sheetFormatPr baseColWidth="10" defaultColWidth="9.140625" defaultRowHeight="15"/>
  <cols>
    <col min="1" max="1" width="24.7109375" style="2" customWidth="1"/>
    <col min="2" max="2" width="25.85546875" style="2" customWidth="1"/>
    <col min="3" max="4" width="14.5703125" style="2" customWidth="1"/>
    <col min="5" max="5" width="12.28515625" style="2" customWidth="1"/>
    <col min="6" max="6" width="11.28515625" style="2" customWidth="1"/>
    <col min="7" max="7" width="13.85546875" style="2" customWidth="1"/>
    <col min="8" max="8" width="14.5703125" style="2" customWidth="1"/>
    <col min="9" max="9" width="14.140625" style="2" customWidth="1"/>
    <col min="10" max="10" width="12.140625" style="2" customWidth="1"/>
    <col min="11" max="11" width="11.7109375" style="2" customWidth="1"/>
    <col min="12" max="14" width="14.5703125" style="2" customWidth="1"/>
    <col min="15" max="15" width="11.42578125" style="2" customWidth="1"/>
    <col min="16" max="16" width="12" style="2" customWidth="1"/>
    <col min="17" max="19" width="14.5703125" style="2" customWidth="1"/>
    <col min="20" max="20" width="12.5703125" style="2" customWidth="1"/>
    <col min="21" max="21" width="11.85546875" style="2" customWidth="1"/>
    <col min="22" max="22" width="13.140625" style="2" customWidth="1"/>
    <col min="23" max="23" width="18.42578125" style="2" customWidth="1"/>
    <col min="24" max="24" width="14.5703125" style="2" customWidth="1"/>
    <col min="25" max="16384" width="9.140625" style="2"/>
  </cols>
  <sheetData>
    <row r="1" spans="1:23" s="3" customFormat="1" ht="30">
      <c r="A1" s="3" t="s">
        <v>566</v>
      </c>
      <c r="B1" s="3" t="s">
        <v>567</v>
      </c>
      <c r="C1" s="3" t="s">
        <v>568</v>
      </c>
      <c r="D1" s="3" t="s">
        <v>569</v>
      </c>
      <c r="E1" s="3" t="s">
        <v>570</v>
      </c>
      <c r="F1" s="3" t="s">
        <v>571</v>
      </c>
      <c r="G1" s="3" t="s">
        <v>572</v>
      </c>
      <c r="H1" s="3" t="s">
        <v>573</v>
      </c>
      <c r="I1" s="3" t="s">
        <v>574</v>
      </c>
      <c r="J1" s="3" t="s">
        <v>575</v>
      </c>
      <c r="K1" s="3" t="s">
        <v>576</v>
      </c>
      <c r="L1" s="3" t="s">
        <v>577</v>
      </c>
      <c r="M1" s="3" t="s">
        <v>578</v>
      </c>
      <c r="N1" s="3" t="s">
        <v>579</v>
      </c>
      <c r="O1" s="3" t="s">
        <v>580</v>
      </c>
      <c r="P1" s="3" t="s">
        <v>581</v>
      </c>
      <c r="Q1" s="3" t="s">
        <v>582</v>
      </c>
      <c r="R1" s="3" t="s">
        <v>583</v>
      </c>
      <c r="S1" s="3" t="s">
        <v>584</v>
      </c>
      <c r="T1" s="3" t="s">
        <v>585</v>
      </c>
      <c r="U1" s="3" t="s">
        <v>586</v>
      </c>
      <c r="V1" s="3" t="s">
        <v>587</v>
      </c>
      <c r="W1" s="3" t="s">
        <v>588</v>
      </c>
    </row>
    <row r="2" spans="1:23" ht="45">
      <c r="A2" s="2" t="s">
        <v>183</v>
      </c>
      <c r="B2" s="2" t="s">
        <v>184</v>
      </c>
      <c r="C2" s="2">
        <v>100</v>
      </c>
      <c r="D2" s="2" t="s">
        <v>4</v>
      </c>
      <c r="E2" s="2" t="s">
        <v>4</v>
      </c>
      <c r="F2" s="2">
        <v>100</v>
      </c>
      <c r="G2" s="2" t="s">
        <v>5</v>
      </c>
      <c r="I2" s="2" t="s">
        <v>4</v>
      </c>
      <c r="J2" s="2" t="s">
        <v>4</v>
      </c>
      <c r="K2" s="2">
        <v>100</v>
      </c>
      <c r="L2" s="2" t="s">
        <v>5</v>
      </c>
      <c r="N2" s="2" t="s">
        <v>4</v>
      </c>
      <c r="O2" s="2" t="s">
        <v>4</v>
      </c>
      <c r="P2" s="2">
        <v>100</v>
      </c>
      <c r="Q2" s="2" t="s">
        <v>5</v>
      </c>
      <c r="S2" s="2" t="s">
        <v>4</v>
      </c>
      <c r="T2" s="4">
        <v>90</v>
      </c>
      <c r="U2" s="4">
        <v>90</v>
      </c>
      <c r="V2" s="2" t="s">
        <v>108</v>
      </c>
    </row>
    <row r="3" spans="1:23" ht="98.25" customHeight="1">
      <c r="A3" s="2" t="s">
        <v>185</v>
      </c>
      <c r="B3" s="2" t="s">
        <v>186</v>
      </c>
      <c r="C3" s="2">
        <v>1</v>
      </c>
      <c r="D3" s="2" t="s">
        <v>91</v>
      </c>
      <c r="E3" s="2" t="s">
        <v>91</v>
      </c>
      <c r="F3" s="2">
        <v>100</v>
      </c>
      <c r="G3" s="2" t="s">
        <v>5</v>
      </c>
      <c r="I3" s="2" t="s">
        <v>91</v>
      </c>
      <c r="J3" s="2" t="s">
        <v>91</v>
      </c>
      <c r="K3" s="2">
        <v>100</v>
      </c>
      <c r="L3" s="2" t="s">
        <v>5</v>
      </c>
      <c r="N3" s="2" t="s">
        <v>91</v>
      </c>
      <c r="O3" s="2" t="s">
        <v>91</v>
      </c>
      <c r="P3" s="2">
        <v>100</v>
      </c>
      <c r="Q3" s="2" t="s">
        <v>5</v>
      </c>
      <c r="S3" s="2" t="s">
        <v>91</v>
      </c>
      <c r="T3" s="4">
        <v>70</v>
      </c>
      <c r="U3" s="4">
        <v>88</v>
      </c>
      <c r="V3" s="2" t="s">
        <v>108</v>
      </c>
    </row>
    <row r="4" spans="1:23" ht="98.25" customHeight="1">
      <c r="A4" s="2" t="s">
        <v>88</v>
      </c>
      <c r="B4" s="2" t="s">
        <v>188</v>
      </c>
      <c r="C4" s="2">
        <v>1</v>
      </c>
      <c r="D4" s="2" t="s">
        <v>16</v>
      </c>
      <c r="E4" s="2" t="s">
        <v>16</v>
      </c>
      <c r="F4" s="2">
        <v>100</v>
      </c>
      <c r="G4" s="2" t="s">
        <v>5</v>
      </c>
      <c r="I4" s="2" t="s">
        <v>16</v>
      </c>
      <c r="J4" s="2" t="s">
        <v>16</v>
      </c>
      <c r="K4" s="2">
        <v>100</v>
      </c>
      <c r="L4" s="2" t="s">
        <v>5</v>
      </c>
      <c r="N4" s="2" t="s">
        <v>16</v>
      </c>
      <c r="O4" s="2" t="s">
        <v>16</v>
      </c>
      <c r="P4" s="2">
        <v>100</v>
      </c>
      <c r="Q4" s="2" t="s">
        <v>5</v>
      </c>
      <c r="S4" s="2" t="s">
        <v>16</v>
      </c>
      <c r="T4" s="4">
        <v>80</v>
      </c>
      <c r="U4" s="4">
        <v>75</v>
      </c>
      <c r="V4" s="2" t="s">
        <v>108</v>
      </c>
    </row>
    <row r="5" spans="1:23" ht="67.5" customHeight="1">
      <c r="A5" s="2" t="s">
        <v>190</v>
      </c>
      <c r="B5" s="2" t="s">
        <v>191</v>
      </c>
      <c r="C5" s="2">
        <v>90</v>
      </c>
      <c r="D5" s="2" t="s">
        <v>192</v>
      </c>
      <c r="E5" s="2" t="s">
        <v>192</v>
      </c>
      <c r="F5" s="2">
        <v>100</v>
      </c>
      <c r="G5" s="2" t="s">
        <v>5</v>
      </c>
      <c r="I5" s="2" t="s">
        <v>192</v>
      </c>
      <c r="J5" s="2" t="s">
        <v>192</v>
      </c>
      <c r="K5" s="2">
        <v>100</v>
      </c>
      <c r="L5" s="2" t="s">
        <v>5</v>
      </c>
      <c r="N5" s="2" t="s">
        <v>192</v>
      </c>
      <c r="O5" s="2" t="s">
        <v>192</v>
      </c>
      <c r="P5" s="2">
        <v>100</v>
      </c>
      <c r="Q5" s="2" t="s">
        <v>5</v>
      </c>
      <c r="R5" s="2" t="s">
        <v>193</v>
      </c>
      <c r="S5" s="2" t="s">
        <v>192</v>
      </c>
      <c r="T5" s="4">
        <v>75</v>
      </c>
      <c r="U5" s="4">
        <v>83</v>
      </c>
      <c r="V5" s="2" t="s">
        <v>18</v>
      </c>
    </row>
    <row r="6" spans="1:23" ht="153" customHeight="1">
      <c r="A6" s="2" t="s">
        <v>194</v>
      </c>
      <c r="B6" s="2" t="s">
        <v>195</v>
      </c>
      <c r="C6" s="2">
        <v>80</v>
      </c>
      <c r="D6" s="2" t="s">
        <v>187</v>
      </c>
      <c r="E6" s="2" t="s">
        <v>187</v>
      </c>
      <c r="F6" s="2">
        <v>100</v>
      </c>
      <c r="G6" s="2" t="s">
        <v>5</v>
      </c>
      <c r="I6" s="2" t="s">
        <v>187</v>
      </c>
      <c r="J6" s="2" t="s">
        <v>187</v>
      </c>
      <c r="K6" s="2">
        <v>100</v>
      </c>
      <c r="L6" s="2" t="s">
        <v>5</v>
      </c>
      <c r="N6" s="2" t="s">
        <v>187</v>
      </c>
      <c r="O6" s="2" t="s">
        <v>187</v>
      </c>
      <c r="P6" s="2">
        <v>100</v>
      </c>
      <c r="Q6" s="2" t="s">
        <v>5</v>
      </c>
      <c r="S6" s="2" t="s">
        <v>187</v>
      </c>
      <c r="T6" s="4" t="s">
        <v>163</v>
      </c>
      <c r="U6" s="4">
        <v>75</v>
      </c>
      <c r="V6" s="2" t="s">
        <v>108</v>
      </c>
    </row>
    <row r="7" spans="1:23" ht="70.5" customHeight="1">
      <c r="A7" s="2" t="s">
        <v>196</v>
      </c>
      <c r="B7" s="2" t="s">
        <v>197</v>
      </c>
      <c r="C7" s="2">
        <v>100</v>
      </c>
      <c r="D7" s="2" t="s">
        <v>10</v>
      </c>
      <c r="E7" s="2" t="s">
        <v>11</v>
      </c>
      <c r="F7" s="2">
        <v>0</v>
      </c>
      <c r="I7" s="2" t="s">
        <v>4</v>
      </c>
      <c r="J7" s="2" t="s">
        <v>4</v>
      </c>
      <c r="K7" s="2">
        <v>100</v>
      </c>
      <c r="L7" s="2" t="s">
        <v>5</v>
      </c>
      <c r="N7" s="2" t="s">
        <v>4</v>
      </c>
      <c r="O7" s="2" t="s">
        <v>4</v>
      </c>
      <c r="P7" s="2">
        <v>100</v>
      </c>
      <c r="Q7" s="2" t="s">
        <v>5</v>
      </c>
      <c r="S7" s="2" t="s">
        <v>4</v>
      </c>
      <c r="T7" s="4">
        <v>80</v>
      </c>
      <c r="U7" s="4">
        <v>80</v>
      </c>
      <c r="V7" s="2" t="s">
        <v>108</v>
      </c>
    </row>
    <row r="8" spans="1:23" ht="99" customHeight="1">
      <c r="A8" s="2" t="s">
        <v>198</v>
      </c>
      <c r="B8" s="2" t="s">
        <v>199</v>
      </c>
      <c r="C8" s="2">
        <v>70</v>
      </c>
      <c r="D8" s="2" t="s">
        <v>58</v>
      </c>
      <c r="E8" s="2" t="s">
        <v>58</v>
      </c>
      <c r="F8" s="2">
        <v>100</v>
      </c>
      <c r="G8" s="2" t="s">
        <v>5</v>
      </c>
      <c r="H8" s="2" t="s">
        <v>200</v>
      </c>
      <c r="I8" s="2" t="s">
        <v>58</v>
      </c>
      <c r="J8" s="2" t="s">
        <v>58</v>
      </c>
      <c r="K8" s="2">
        <v>100</v>
      </c>
      <c r="L8" s="2" t="s">
        <v>5</v>
      </c>
      <c r="N8" s="2" t="s">
        <v>10</v>
      </c>
      <c r="O8" s="2" t="s">
        <v>11</v>
      </c>
      <c r="P8" s="2">
        <v>0</v>
      </c>
      <c r="S8" s="2" t="s">
        <v>58</v>
      </c>
      <c r="T8" s="4">
        <v>58</v>
      </c>
      <c r="U8" s="4">
        <v>82</v>
      </c>
      <c r="V8" s="2" t="s">
        <v>108</v>
      </c>
    </row>
    <row r="9" spans="1:23" ht="96" customHeight="1">
      <c r="A9" s="2" t="s">
        <v>201</v>
      </c>
      <c r="B9" s="2" t="s">
        <v>202</v>
      </c>
      <c r="C9" s="2">
        <v>1</v>
      </c>
      <c r="D9" s="2" t="s">
        <v>10</v>
      </c>
      <c r="E9" s="2" t="s">
        <v>11</v>
      </c>
      <c r="F9" s="2">
        <v>0</v>
      </c>
      <c r="I9" s="2" t="s">
        <v>16</v>
      </c>
      <c r="J9" s="2" t="s">
        <v>16</v>
      </c>
      <c r="K9" s="2">
        <v>100</v>
      </c>
      <c r="L9" s="2" t="s">
        <v>5</v>
      </c>
      <c r="N9" s="2" t="s">
        <v>16</v>
      </c>
      <c r="O9" s="2" t="s">
        <v>16</v>
      </c>
      <c r="P9" s="2">
        <v>100</v>
      </c>
      <c r="Q9" s="2" t="s">
        <v>5</v>
      </c>
      <c r="S9" s="2" t="s">
        <v>16</v>
      </c>
      <c r="T9" s="4">
        <v>75</v>
      </c>
      <c r="U9" s="4">
        <v>75</v>
      </c>
      <c r="V9" s="2" t="s">
        <v>108</v>
      </c>
      <c r="W9" s="2" t="s">
        <v>203</v>
      </c>
    </row>
    <row r="10" spans="1:23" ht="60">
      <c r="A10" s="2" t="s">
        <v>204</v>
      </c>
      <c r="B10" s="2" t="s">
        <v>205</v>
      </c>
      <c r="C10" s="2">
        <v>42</v>
      </c>
      <c r="D10" s="2" t="s">
        <v>206</v>
      </c>
      <c r="E10" s="2" t="s">
        <v>206</v>
      </c>
      <c r="F10" s="2">
        <v>100</v>
      </c>
      <c r="G10" s="2" t="s">
        <v>5</v>
      </c>
      <c r="I10" s="2" t="s">
        <v>178</v>
      </c>
      <c r="J10" s="2" t="s">
        <v>178</v>
      </c>
      <c r="K10" s="2">
        <v>100</v>
      </c>
      <c r="L10" s="2" t="s">
        <v>5</v>
      </c>
      <c r="N10" s="2" t="s">
        <v>10</v>
      </c>
      <c r="O10" s="2" t="s">
        <v>11</v>
      </c>
      <c r="P10" s="2">
        <v>0</v>
      </c>
      <c r="S10" s="2" t="s">
        <v>92</v>
      </c>
      <c r="T10" s="4">
        <v>18</v>
      </c>
      <c r="U10" s="4">
        <v>90</v>
      </c>
      <c r="V10" s="2" t="s">
        <v>108</v>
      </c>
    </row>
    <row r="11" spans="1:23" ht="60">
      <c r="A11" s="2" t="s">
        <v>207</v>
      </c>
      <c r="B11" s="2" t="s">
        <v>208</v>
      </c>
      <c r="C11" s="2">
        <v>95</v>
      </c>
      <c r="D11" s="2" t="s">
        <v>209</v>
      </c>
      <c r="E11" s="2" t="s">
        <v>209</v>
      </c>
      <c r="F11" s="2">
        <v>100</v>
      </c>
      <c r="G11" s="2" t="s">
        <v>5</v>
      </c>
      <c r="I11" s="2" t="s">
        <v>209</v>
      </c>
      <c r="J11" s="2" t="s">
        <v>209</v>
      </c>
      <c r="K11" s="2">
        <v>100</v>
      </c>
      <c r="L11" s="2" t="s">
        <v>5</v>
      </c>
      <c r="N11" s="2" t="s">
        <v>209</v>
      </c>
      <c r="O11" s="2" t="s">
        <v>209</v>
      </c>
      <c r="P11" s="2">
        <v>100</v>
      </c>
      <c r="Q11" s="2" t="s">
        <v>5</v>
      </c>
      <c r="S11" s="2" t="s">
        <v>209</v>
      </c>
      <c r="T11" s="4">
        <v>81</v>
      </c>
      <c r="U11" s="4">
        <v>81</v>
      </c>
      <c r="V11" s="2" t="s">
        <v>108</v>
      </c>
    </row>
    <row r="12" spans="1:23" ht="95.25" customHeight="1">
      <c r="A12" s="2" t="s">
        <v>210</v>
      </c>
      <c r="B12" s="2" t="s">
        <v>211</v>
      </c>
      <c r="C12" s="2">
        <v>20</v>
      </c>
      <c r="D12" s="2" t="s">
        <v>172</v>
      </c>
      <c r="E12" s="2" t="s">
        <v>172</v>
      </c>
      <c r="F12" s="2">
        <v>100</v>
      </c>
      <c r="G12" s="2" t="s">
        <v>5</v>
      </c>
      <c r="I12" s="2" t="s">
        <v>172</v>
      </c>
      <c r="J12" s="2" t="s">
        <v>212</v>
      </c>
      <c r="K12" s="2">
        <v>80</v>
      </c>
      <c r="L12" s="2" t="s">
        <v>108</v>
      </c>
      <c r="N12" s="2" t="s">
        <v>172</v>
      </c>
      <c r="O12" s="2" t="s">
        <v>172</v>
      </c>
      <c r="P12" s="2">
        <v>100</v>
      </c>
      <c r="Q12" s="2" t="s">
        <v>5</v>
      </c>
      <c r="S12" s="2" t="s">
        <v>172</v>
      </c>
      <c r="T12" s="4">
        <v>4.2</v>
      </c>
      <c r="U12" s="4">
        <v>84</v>
      </c>
      <c r="V12" s="2" t="s">
        <v>108</v>
      </c>
    </row>
    <row r="13" spans="1:23" ht="78" customHeight="1">
      <c r="A13" s="2" t="s">
        <v>213</v>
      </c>
      <c r="B13" s="2" t="s">
        <v>214</v>
      </c>
      <c r="C13" s="2">
        <v>4319</v>
      </c>
      <c r="D13" s="2" t="s">
        <v>215</v>
      </c>
      <c r="E13" s="2" t="s">
        <v>215</v>
      </c>
      <c r="F13" s="2">
        <v>100</v>
      </c>
      <c r="G13" s="2" t="s">
        <v>5</v>
      </c>
      <c r="I13" s="2" t="s">
        <v>215</v>
      </c>
      <c r="J13" s="2" t="s">
        <v>216</v>
      </c>
      <c r="K13" s="2">
        <v>76.22</v>
      </c>
      <c r="L13" s="2" t="s">
        <v>108</v>
      </c>
      <c r="N13" s="2" t="s">
        <v>215</v>
      </c>
      <c r="O13" s="2" t="s">
        <v>217</v>
      </c>
      <c r="P13" s="2">
        <v>100</v>
      </c>
      <c r="Q13" s="2" t="s">
        <v>5</v>
      </c>
      <c r="S13" s="2" t="s">
        <v>215</v>
      </c>
      <c r="T13" s="4">
        <v>8692</v>
      </c>
      <c r="U13" s="4">
        <v>100</v>
      </c>
      <c r="V13" s="2" t="s">
        <v>5</v>
      </c>
      <c r="W13" s="2" t="s">
        <v>218</v>
      </c>
    </row>
    <row r="14" spans="1:23" ht="45">
      <c r="A14" s="2" t="s">
        <v>219</v>
      </c>
      <c r="B14" s="2" t="s">
        <v>220</v>
      </c>
      <c r="C14" s="2">
        <v>1</v>
      </c>
      <c r="D14" s="2" t="s">
        <v>16</v>
      </c>
      <c r="E14" s="2" t="s">
        <v>11</v>
      </c>
      <c r="F14" s="2">
        <v>0</v>
      </c>
      <c r="G14" s="2" t="s">
        <v>14</v>
      </c>
      <c r="I14" s="2" t="s">
        <v>16</v>
      </c>
      <c r="J14" s="2" t="s">
        <v>7</v>
      </c>
      <c r="K14" s="2">
        <v>0</v>
      </c>
      <c r="L14" s="2" t="s">
        <v>14</v>
      </c>
      <c r="N14" s="2" t="s">
        <v>10</v>
      </c>
      <c r="O14" s="2" t="s">
        <v>11</v>
      </c>
      <c r="P14" s="2">
        <v>0</v>
      </c>
      <c r="S14" s="2" t="s">
        <v>16</v>
      </c>
      <c r="T14" s="4">
        <v>75</v>
      </c>
      <c r="U14" s="4">
        <v>75</v>
      </c>
      <c r="V14" s="2" t="s">
        <v>14</v>
      </c>
      <c r="W14" s="2" t="s">
        <v>223</v>
      </c>
    </row>
    <row r="15" spans="1:23" ht="30">
      <c r="A15" s="2" t="s">
        <v>210</v>
      </c>
      <c r="B15" s="2" t="s">
        <v>224</v>
      </c>
      <c r="C15" s="2">
        <v>14</v>
      </c>
      <c r="D15" s="2" t="s">
        <v>13</v>
      </c>
      <c r="E15" s="2" t="s">
        <v>13</v>
      </c>
      <c r="F15" s="2">
        <v>100</v>
      </c>
      <c r="G15" s="2" t="s">
        <v>5</v>
      </c>
      <c r="I15" s="2" t="s">
        <v>172</v>
      </c>
      <c r="J15" s="2" t="s">
        <v>172</v>
      </c>
      <c r="K15" s="2">
        <v>100</v>
      </c>
      <c r="L15" s="2" t="s">
        <v>5</v>
      </c>
      <c r="N15" s="2" t="s">
        <v>172</v>
      </c>
      <c r="O15" s="2" t="s">
        <v>172</v>
      </c>
      <c r="P15" s="2">
        <v>100</v>
      </c>
      <c r="Q15" s="2" t="s">
        <v>5</v>
      </c>
      <c r="S15" s="2" t="s">
        <v>13</v>
      </c>
      <c r="T15" s="4">
        <v>1.8</v>
      </c>
      <c r="U15" s="4">
        <v>90</v>
      </c>
      <c r="V15" s="2" t="s">
        <v>5</v>
      </c>
    </row>
    <row r="16" spans="1:23">
      <c r="F16" s="2">
        <f>SUBTOTAL(109,ReporteAvancePlanIndicativo36[% Avance 2020])/12</f>
        <v>91.666666666666671</v>
      </c>
      <c r="K16" s="2">
        <f>SUBTOTAL(109,ReporteAvancePlanIndicativo36[% Avance 2021])/14</f>
        <v>89.73</v>
      </c>
      <c r="P16" s="2">
        <f>SUBTOTAL(109,ReporteAvancePlanIndicativo36[% Avance 2022])/12</f>
        <v>91.666666666666671</v>
      </c>
      <c r="T16" s="4"/>
      <c r="U16" s="4">
        <f>SUBTOTAL(109,ReporteAvancePlanIndicativo36[% Avance 2023])/14</f>
        <v>83.428571428571431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8880B-4101-4B08-9F2E-0E93B7D98109}">
  <dimension ref="A1:W12"/>
  <sheetViews>
    <sheetView topLeftCell="D5" workbookViewId="0">
      <selection activeCell="P13" sqref="P13"/>
    </sheetView>
  </sheetViews>
  <sheetFormatPr baseColWidth="10" defaultColWidth="9.140625" defaultRowHeight="15"/>
  <cols>
    <col min="1" max="1" width="24.5703125" style="2" customWidth="1"/>
    <col min="2" max="2" width="20.85546875" style="2" customWidth="1"/>
    <col min="3" max="3" width="12.140625" style="2" customWidth="1"/>
    <col min="4" max="4" width="14.5703125" style="2" customWidth="1"/>
    <col min="5" max="5" width="13.5703125" style="2" customWidth="1"/>
    <col min="6" max="6" width="12.28515625" style="2" customWidth="1"/>
    <col min="7" max="7" width="13.85546875" style="2" customWidth="1"/>
    <col min="8" max="8" width="15.28515625" style="2" customWidth="1"/>
    <col min="9" max="9" width="14.85546875" style="2" customWidth="1"/>
    <col min="10" max="10" width="11.85546875" style="2" customWidth="1"/>
    <col min="11" max="11" width="12.7109375" style="2" customWidth="1"/>
    <col min="12" max="13" width="15.28515625" style="2" customWidth="1"/>
    <col min="14" max="14" width="14.5703125" style="2" customWidth="1"/>
    <col min="15" max="15" width="12.7109375" style="2" customWidth="1"/>
    <col min="16" max="16" width="12.85546875" style="2" customWidth="1"/>
    <col min="17" max="17" width="14" style="2" customWidth="1"/>
    <col min="18" max="19" width="15.28515625" style="2" customWidth="1"/>
    <col min="20" max="20" width="13.140625" style="2" customWidth="1"/>
    <col min="21" max="21" width="12.85546875" style="2" customWidth="1"/>
    <col min="22" max="23" width="15.28515625" style="2" customWidth="1"/>
    <col min="24" max="16384" width="9.140625" style="2"/>
  </cols>
  <sheetData>
    <row r="1" spans="1:23" s="3" customFormat="1" ht="30">
      <c r="A1" s="3" t="s">
        <v>566</v>
      </c>
      <c r="B1" s="3" t="s">
        <v>567</v>
      </c>
      <c r="C1" s="3" t="s">
        <v>568</v>
      </c>
      <c r="D1" s="3" t="s">
        <v>569</v>
      </c>
      <c r="E1" s="3" t="s">
        <v>570</v>
      </c>
      <c r="F1" s="3" t="s">
        <v>571</v>
      </c>
      <c r="G1" s="3" t="s">
        <v>572</v>
      </c>
      <c r="H1" s="3" t="s">
        <v>573</v>
      </c>
      <c r="I1" s="3" t="s">
        <v>574</v>
      </c>
      <c r="J1" s="3" t="s">
        <v>575</v>
      </c>
      <c r="K1" s="3" t="s">
        <v>576</v>
      </c>
      <c r="L1" s="3" t="s">
        <v>577</v>
      </c>
      <c r="M1" s="3" t="s">
        <v>578</v>
      </c>
      <c r="N1" s="3" t="s">
        <v>579</v>
      </c>
      <c r="O1" s="3" t="s">
        <v>580</v>
      </c>
      <c r="P1" s="3" t="s">
        <v>581</v>
      </c>
      <c r="Q1" s="3" t="s">
        <v>582</v>
      </c>
      <c r="R1" s="3" t="s">
        <v>583</v>
      </c>
      <c r="S1" s="3" t="s">
        <v>584</v>
      </c>
      <c r="T1" s="3" t="s">
        <v>585</v>
      </c>
      <c r="U1" s="3" t="s">
        <v>586</v>
      </c>
      <c r="V1" s="3" t="s">
        <v>587</v>
      </c>
      <c r="W1" s="3" t="s">
        <v>588</v>
      </c>
    </row>
    <row r="2" spans="1:23" ht="52.5" customHeight="1">
      <c r="A2" s="2" t="s">
        <v>119</v>
      </c>
      <c r="B2" s="2" t="s">
        <v>120</v>
      </c>
      <c r="C2" s="2">
        <v>100</v>
      </c>
      <c r="D2" s="2" t="s">
        <v>22</v>
      </c>
      <c r="E2" s="2" t="s">
        <v>11</v>
      </c>
      <c r="F2" s="2">
        <v>0</v>
      </c>
      <c r="G2" s="2" t="s">
        <v>14</v>
      </c>
      <c r="I2" s="2" t="s">
        <v>22</v>
      </c>
      <c r="J2" s="2" t="s">
        <v>22</v>
      </c>
      <c r="K2" s="2">
        <v>100</v>
      </c>
      <c r="L2" s="2" t="s">
        <v>5</v>
      </c>
      <c r="N2" s="2" t="s">
        <v>22</v>
      </c>
      <c r="O2" s="2" t="s">
        <v>22</v>
      </c>
      <c r="P2" s="2">
        <v>100</v>
      </c>
      <c r="Q2" s="2" t="s">
        <v>5</v>
      </c>
      <c r="S2" s="2" t="s">
        <v>22</v>
      </c>
      <c r="T2" s="2" t="s">
        <v>22</v>
      </c>
      <c r="U2" s="2">
        <v>100</v>
      </c>
      <c r="V2" s="2" t="s">
        <v>5</v>
      </c>
    </row>
    <row r="3" spans="1:23" ht="45">
      <c r="A3" s="2" t="s">
        <v>121</v>
      </c>
      <c r="B3" s="2" t="s">
        <v>122</v>
      </c>
      <c r="C3" s="2">
        <v>3</v>
      </c>
      <c r="D3" s="2" t="s">
        <v>84</v>
      </c>
      <c r="E3" s="2" t="s">
        <v>11</v>
      </c>
      <c r="F3" s="2">
        <v>0</v>
      </c>
      <c r="G3" s="2" t="s">
        <v>14</v>
      </c>
      <c r="I3" s="2" t="s">
        <v>84</v>
      </c>
      <c r="J3" s="2" t="s">
        <v>84</v>
      </c>
      <c r="K3" s="2">
        <v>100</v>
      </c>
      <c r="L3" s="2" t="s">
        <v>5</v>
      </c>
      <c r="N3" s="2" t="s">
        <v>84</v>
      </c>
      <c r="O3" s="2" t="s">
        <v>84</v>
      </c>
      <c r="P3" s="2">
        <v>100</v>
      </c>
      <c r="Q3" s="2" t="s">
        <v>5</v>
      </c>
      <c r="S3" s="2" t="s">
        <v>84</v>
      </c>
      <c r="T3" s="2" t="s">
        <v>84</v>
      </c>
      <c r="U3" s="2">
        <v>100</v>
      </c>
      <c r="V3" s="2" t="s">
        <v>5</v>
      </c>
    </row>
    <row r="4" spans="1:23" ht="85.5" customHeight="1">
      <c r="A4" s="2" t="s">
        <v>123</v>
      </c>
      <c r="B4" s="2" t="s">
        <v>124</v>
      </c>
      <c r="C4" s="2">
        <v>10</v>
      </c>
      <c r="D4" s="2" t="s">
        <v>10</v>
      </c>
      <c r="E4" s="2" t="s">
        <v>11</v>
      </c>
      <c r="F4" s="2">
        <v>0</v>
      </c>
      <c r="I4" s="2" t="s">
        <v>125</v>
      </c>
      <c r="J4" s="2" t="s">
        <v>125</v>
      </c>
      <c r="K4" s="2">
        <v>100</v>
      </c>
      <c r="L4" s="2" t="s">
        <v>5</v>
      </c>
      <c r="N4" s="2" t="s">
        <v>16</v>
      </c>
      <c r="O4" s="2" t="s">
        <v>16</v>
      </c>
      <c r="P4" s="2">
        <v>100</v>
      </c>
      <c r="Q4" s="2" t="s">
        <v>5</v>
      </c>
      <c r="S4" s="2" t="s">
        <v>16</v>
      </c>
      <c r="T4" s="2" t="s">
        <v>16</v>
      </c>
      <c r="U4" s="2">
        <v>100</v>
      </c>
      <c r="V4" s="2" t="s">
        <v>5</v>
      </c>
    </row>
    <row r="5" spans="1:23" ht="60">
      <c r="A5" s="2" t="s">
        <v>126</v>
      </c>
      <c r="B5" s="2" t="s">
        <v>127</v>
      </c>
      <c r="C5" s="2">
        <v>3</v>
      </c>
      <c r="D5" s="2" t="s">
        <v>84</v>
      </c>
      <c r="E5" s="2" t="s">
        <v>11</v>
      </c>
      <c r="F5" s="2">
        <v>0</v>
      </c>
      <c r="G5" s="2" t="s">
        <v>14</v>
      </c>
      <c r="I5" s="2" t="s">
        <v>84</v>
      </c>
      <c r="J5" s="2" t="s">
        <v>84</v>
      </c>
      <c r="K5" s="2">
        <v>100</v>
      </c>
      <c r="L5" s="2" t="s">
        <v>5</v>
      </c>
      <c r="N5" s="2" t="s">
        <v>84</v>
      </c>
      <c r="O5" s="2" t="s">
        <v>84</v>
      </c>
      <c r="P5" s="2">
        <v>100</v>
      </c>
      <c r="Q5" s="2" t="s">
        <v>5</v>
      </c>
      <c r="S5" s="2" t="s">
        <v>84</v>
      </c>
      <c r="T5" s="2" t="s">
        <v>11</v>
      </c>
      <c r="U5" s="2">
        <v>0</v>
      </c>
      <c r="V5" s="2" t="s">
        <v>14</v>
      </c>
      <c r="W5" s="2" t="s">
        <v>591</v>
      </c>
    </row>
    <row r="6" spans="1:23" ht="45">
      <c r="A6" s="2" t="s">
        <v>128</v>
      </c>
      <c r="B6" s="2" t="s">
        <v>129</v>
      </c>
      <c r="C6" s="2">
        <v>3</v>
      </c>
      <c r="D6" s="2" t="s">
        <v>84</v>
      </c>
      <c r="E6" s="2" t="s">
        <v>11</v>
      </c>
      <c r="F6" s="2">
        <v>0</v>
      </c>
      <c r="G6" s="2" t="s">
        <v>14</v>
      </c>
      <c r="I6" s="2" t="s">
        <v>84</v>
      </c>
      <c r="J6" s="2" t="s">
        <v>84</v>
      </c>
      <c r="K6" s="2">
        <v>100</v>
      </c>
      <c r="L6" s="2" t="s">
        <v>5</v>
      </c>
      <c r="N6" s="2" t="s">
        <v>84</v>
      </c>
      <c r="O6" s="2" t="s">
        <v>84</v>
      </c>
      <c r="P6" s="2">
        <v>100</v>
      </c>
      <c r="Q6" s="2" t="s">
        <v>5</v>
      </c>
      <c r="S6" s="2" t="s">
        <v>84</v>
      </c>
      <c r="T6" s="2" t="s">
        <v>84</v>
      </c>
      <c r="U6" s="2">
        <v>100</v>
      </c>
      <c r="V6" s="2" t="s">
        <v>5</v>
      </c>
    </row>
    <row r="7" spans="1:23" ht="45">
      <c r="A7" s="2" t="s">
        <v>130</v>
      </c>
      <c r="B7" s="2" t="s">
        <v>131</v>
      </c>
      <c r="C7" s="2">
        <v>1475676</v>
      </c>
      <c r="D7" s="2" t="s">
        <v>132</v>
      </c>
      <c r="E7" s="2" t="s">
        <v>132</v>
      </c>
      <c r="F7" s="2">
        <v>100</v>
      </c>
      <c r="G7" s="2" t="s">
        <v>5</v>
      </c>
      <c r="I7" s="2" t="s">
        <v>132</v>
      </c>
      <c r="J7" s="2" t="s">
        <v>133</v>
      </c>
      <c r="K7" s="2">
        <v>98.16</v>
      </c>
      <c r="L7" s="2" t="s">
        <v>5</v>
      </c>
      <c r="N7" s="2" t="s">
        <v>132</v>
      </c>
      <c r="O7" s="2" t="s">
        <v>134</v>
      </c>
      <c r="P7" s="2">
        <v>89.22</v>
      </c>
      <c r="Q7" s="2" t="s">
        <v>5</v>
      </c>
      <c r="S7" s="2" t="s">
        <v>132</v>
      </c>
      <c r="T7" s="2">
        <v>1286032</v>
      </c>
      <c r="U7" s="2">
        <v>87</v>
      </c>
      <c r="V7" s="2" t="s">
        <v>108</v>
      </c>
    </row>
    <row r="8" spans="1:23" ht="45">
      <c r="A8" s="2" t="s">
        <v>135</v>
      </c>
      <c r="B8" s="2" t="s">
        <v>136</v>
      </c>
      <c r="C8" s="2">
        <v>3110</v>
      </c>
      <c r="D8" s="2" t="s">
        <v>10</v>
      </c>
      <c r="E8" s="2" t="s">
        <v>11</v>
      </c>
      <c r="F8" s="2">
        <v>0</v>
      </c>
      <c r="I8" s="2" t="s">
        <v>137</v>
      </c>
      <c r="J8" s="2" t="s">
        <v>138</v>
      </c>
      <c r="K8" s="2">
        <v>38.590000000000003</v>
      </c>
      <c r="L8" s="2" t="s">
        <v>14</v>
      </c>
      <c r="N8" s="2" t="s">
        <v>137</v>
      </c>
      <c r="O8" s="2" t="s">
        <v>139</v>
      </c>
      <c r="P8" s="2">
        <v>100</v>
      </c>
      <c r="Q8" s="2" t="s">
        <v>5</v>
      </c>
      <c r="R8" s="2" t="s">
        <v>140</v>
      </c>
      <c r="S8" s="2" t="s">
        <v>137</v>
      </c>
      <c r="T8" s="2">
        <v>4025</v>
      </c>
      <c r="U8" s="2">
        <v>100</v>
      </c>
      <c r="V8" s="2" t="s">
        <v>5</v>
      </c>
    </row>
    <row r="9" spans="1:23" ht="75">
      <c r="A9" s="2" t="s">
        <v>141</v>
      </c>
      <c r="B9" s="2" t="s">
        <v>142</v>
      </c>
      <c r="C9" s="2">
        <v>1130</v>
      </c>
      <c r="D9" s="2" t="s">
        <v>10</v>
      </c>
      <c r="E9" s="2" t="s">
        <v>11</v>
      </c>
      <c r="F9" s="2">
        <v>0</v>
      </c>
      <c r="I9" s="2" t="s">
        <v>143</v>
      </c>
      <c r="J9" s="2" t="s">
        <v>144</v>
      </c>
      <c r="K9" s="2">
        <v>100</v>
      </c>
      <c r="L9" s="2" t="s">
        <v>5</v>
      </c>
      <c r="N9" s="2" t="s">
        <v>10</v>
      </c>
      <c r="O9" s="2" t="s">
        <v>11</v>
      </c>
      <c r="P9" s="2">
        <v>0</v>
      </c>
      <c r="S9" s="2" t="s">
        <v>143</v>
      </c>
      <c r="T9" s="2" t="s">
        <v>145</v>
      </c>
      <c r="U9" s="2">
        <v>100</v>
      </c>
      <c r="V9" s="2" t="s">
        <v>5</v>
      </c>
    </row>
    <row r="10" spans="1:23" ht="94.5" customHeight="1">
      <c r="A10" s="2" t="s">
        <v>146</v>
      </c>
      <c r="B10" s="2" t="s">
        <v>147</v>
      </c>
      <c r="C10" s="2">
        <v>1561</v>
      </c>
      <c r="D10" s="2" t="s">
        <v>148</v>
      </c>
      <c r="E10" s="2" t="s">
        <v>148</v>
      </c>
      <c r="F10" s="2">
        <v>100</v>
      </c>
      <c r="G10" s="2" t="s">
        <v>5</v>
      </c>
      <c r="I10" s="2" t="s">
        <v>148</v>
      </c>
      <c r="J10" s="2" t="s">
        <v>149</v>
      </c>
      <c r="K10" s="2">
        <v>100</v>
      </c>
      <c r="L10" s="2" t="s">
        <v>5</v>
      </c>
      <c r="N10" s="2" t="s">
        <v>148</v>
      </c>
      <c r="O10" s="2" t="s">
        <v>150</v>
      </c>
      <c r="P10" s="2">
        <v>100</v>
      </c>
      <c r="Q10" s="2" t="s">
        <v>5</v>
      </c>
      <c r="S10" s="2" t="s">
        <v>148</v>
      </c>
      <c r="T10" s="2">
        <v>1328</v>
      </c>
      <c r="U10" s="2">
        <v>85.07</v>
      </c>
      <c r="V10" s="2" t="s">
        <v>5</v>
      </c>
    </row>
    <row r="11" spans="1:23" ht="92.25" customHeight="1">
      <c r="A11" s="2" t="s">
        <v>151</v>
      </c>
      <c r="B11" s="2" t="s">
        <v>152</v>
      </c>
      <c r="C11" s="2">
        <v>3</v>
      </c>
      <c r="D11" s="2" t="s">
        <v>10</v>
      </c>
      <c r="E11" s="2" t="s">
        <v>11</v>
      </c>
      <c r="F11" s="2">
        <v>0</v>
      </c>
      <c r="I11" s="2" t="s">
        <v>84</v>
      </c>
      <c r="J11" s="2" t="s">
        <v>29</v>
      </c>
      <c r="K11" s="2">
        <v>0</v>
      </c>
      <c r="L11" s="2" t="s">
        <v>14</v>
      </c>
      <c r="N11" s="2" t="s">
        <v>10</v>
      </c>
      <c r="O11" s="2" t="s">
        <v>11</v>
      </c>
      <c r="P11" s="2">
        <v>0</v>
      </c>
      <c r="S11" s="2" t="s">
        <v>84</v>
      </c>
      <c r="T11" s="2" t="s">
        <v>84</v>
      </c>
      <c r="U11" s="2">
        <v>100</v>
      </c>
      <c r="V11" s="2" t="s">
        <v>5</v>
      </c>
    </row>
    <row r="12" spans="1:23">
      <c r="F12" s="2">
        <f>SUBTOTAL(109,ReporteAvancePlanIndicativo3915[% Avance 2020])/6</f>
        <v>33.333333333333336</v>
      </c>
      <c r="K12" s="2">
        <f>SUBTOTAL(109,ReporteAvancePlanIndicativo3915[% Avance 2021])/10</f>
        <v>83.674999999999997</v>
      </c>
      <c r="P12" s="2">
        <f>SUBTOTAL(109,ReporteAvancePlanIndicativo3915[% Avance 2022])/8</f>
        <v>98.652500000000003</v>
      </c>
      <c r="U12" s="2">
        <f>SUBTOTAL(109,ReporteAvancePlanIndicativo3915[% Avance 2023])/10</f>
        <v>87.206999999999994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Ejecución Presupuestal</vt:lpstr>
      <vt:lpstr>Avance Físico</vt:lpstr>
      <vt:lpstr>Gobierno</vt:lpstr>
      <vt:lpstr>G_resumen</vt:lpstr>
      <vt:lpstr>Social</vt:lpstr>
      <vt:lpstr>S_resumen</vt:lpstr>
      <vt:lpstr>Salud</vt:lpstr>
      <vt:lpstr>Sa_resumen</vt:lpstr>
      <vt:lpstr>Educación</vt:lpstr>
      <vt:lpstr>E_resumen</vt:lpstr>
      <vt:lpstr>Cultura</vt:lpstr>
      <vt:lpstr>C_resumen</vt:lpstr>
      <vt:lpstr>Deportes</vt:lpstr>
      <vt:lpstr>D_resumen</vt:lpstr>
      <vt:lpstr>Planeación</vt:lpstr>
      <vt:lpstr>P_resumen</vt:lpstr>
      <vt:lpstr>Infraestructura</vt:lpstr>
      <vt:lpstr>I_resumen</vt:lpstr>
      <vt:lpstr>S_Públicos</vt:lpstr>
      <vt:lpstr>S_P_resumen</vt:lpstr>
      <vt:lpstr>Ambiente</vt:lpstr>
      <vt:lpstr>A_resumen</vt:lpstr>
      <vt:lpstr>Económico</vt:lpstr>
      <vt:lpstr>Ec_resumen</vt:lpstr>
      <vt:lpstr>Administrativa</vt:lpstr>
      <vt:lpstr>Ad_resumen</vt:lpstr>
      <vt:lpstr>Hacienda</vt:lpstr>
      <vt:lpstr>H_resumen</vt:lpstr>
      <vt:lpstr>Jurídica</vt:lpstr>
      <vt:lpstr>Comunicaciones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Ana Patricia</cp:lastModifiedBy>
  <dcterms:created xsi:type="dcterms:W3CDTF">2023-11-26T18:33:51Z</dcterms:created>
  <dcterms:modified xsi:type="dcterms:W3CDTF">2023-11-29T14:32:21Z</dcterms:modified>
</cp:coreProperties>
</file>