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G  EMPODERAMIENTO E INCLUSIÓN DE GÉNERO Y POBLACIÓN LGTBI\"/>
    </mc:Choice>
  </mc:AlternateContent>
  <xr:revisionPtr revIDLastSave="0" documentId="13_ncr:1_{ABF9A082-9453-4F62-9CA7-B93052D589AE}"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11"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1">'CONSOLIDADO PLAN DESARROLLO'!$DT$9:$DT$62</definedName>
    <definedName name="COD_MR" localSheetId="4">'[3]CONSOLIDADO PLAN DESARROLLO'!$DT$9:$DT$62</definedName>
    <definedName name="COD_MR">#REF!</definedName>
    <definedName name="E1." localSheetId="1">'CONSOLIDADO PLAN DESARROLLO'!$BK$9:$BK$18</definedName>
    <definedName name="E1.">#REF!</definedName>
    <definedName name="E1.P_A" localSheetId="1">'CONSOLIDADO PLAN DESARROLLO'!$BP$9:$BP$13</definedName>
    <definedName name="E1.P_A">#REF!</definedName>
    <definedName name="E1.P_A.MR1" localSheetId="1">'CONSOLIDADO PLAN DESARROLLO'!$BU$10:$BU$18</definedName>
    <definedName name="E1.P_A.MR1">#REF!</definedName>
    <definedName name="E1.P_A.MR2" localSheetId="1">'CONSOLIDADO PLAN DESARROLLO'!$BU$19:$BU$22</definedName>
    <definedName name="E1.P_A.MR2">#REF!</definedName>
    <definedName name="E1.P_A.MR3" localSheetId="1">'CONSOLIDADO PLAN DESARROLLO'!$BU$23:$BU$27</definedName>
    <definedName name="E1.P_A.MR3">#REF!</definedName>
    <definedName name="E1.P_A.MR4" localSheetId="1">'CONSOLIDADO PLAN DESARROLLO'!$BU$28:$BU$32</definedName>
    <definedName name="E1.P_A.MR4">#REF!</definedName>
    <definedName name="E1.P_A.MR5" localSheetId="1">'CONSOLIDADO PLAN DESARROLLO'!$BU$33:$BU$36</definedName>
    <definedName name="E1.P_A.MR5">#REF!</definedName>
    <definedName name="E1.P_B" localSheetId="1">'CONSOLIDADO PLAN DESARROLLO'!$BP$14:$BP$16</definedName>
    <definedName name="E1.P_B">#REF!</definedName>
    <definedName name="E1.P_B.MR1" localSheetId="1">'CONSOLIDADO PLAN DESARROLLO'!$BU$37:$BU$40</definedName>
    <definedName name="E1.P_B.MR1">#REF!</definedName>
    <definedName name="E1.P_B.MR2" localSheetId="1">'CONSOLIDADO PLAN DESARROLLO'!$BU$41:$BU$43</definedName>
    <definedName name="E1.P_B.MR2">#REF!</definedName>
    <definedName name="E1.P_B.MR3" localSheetId="1">'CONSOLIDADO PLAN DESARROLLO'!$BU$44:$BU$53</definedName>
    <definedName name="E1.P_B.MR3">#REF!</definedName>
    <definedName name="E1.P_C" localSheetId="1">'CONSOLIDADO PLAN DESARROLLO'!$BP$17</definedName>
    <definedName name="E1.P_C">#REF!</definedName>
    <definedName name="E1.P_C.MR1" localSheetId="1">'CONSOLIDADO PLAN DESARROLLO'!$BU$54:$BU$69</definedName>
    <definedName name="E1.P_C.MR1">#REF!</definedName>
    <definedName name="E1.P_D" localSheetId="1">'CONSOLIDADO PLAN DESARROLLO'!$BP$18</definedName>
    <definedName name="E1.P_D">#REF!</definedName>
    <definedName name="E1.P_D.MR1" localSheetId="1">'CONSOLIDADO PLAN DESARROLLO'!$BU$70:$BU$82</definedName>
    <definedName name="E1.P_D.MR1">#REF!</definedName>
    <definedName name="E1.P_E" localSheetId="1">'CONSOLIDADO PLAN DESARROLLO'!$BP$19</definedName>
    <definedName name="E1.P_E">#REF!</definedName>
    <definedName name="E1.P_E.MR1" localSheetId="1">'CONSOLIDADO PLAN DESARROLLO'!$BU$83:$BU$87</definedName>
    <definedName name="E1.P_E.MR1">#REF!</definedName>
    <definedName name="E1.P_F" localSheetId="1">'CONSOLIDADO PLAN DESARROLLO'!$BP$20:$BP$21</definedName>
    <definedName name="E1.P_F">#REF!</definedName>
    <definedName name="E1.P_F.MR1" localSheetId="1">'CONSOLIDADO PLAN DESARROLLO'!$BU$88:$BU$91</definedName>
    <definedName name="E1.P_F.MR1">#REF!</definedName>
    <definedName name="E1.P_F.MR2" localSheetId="1">'CONSOLIDADO PLAN DESARROLLO'!$BU$92:$BU$95</definedName>
    <definedName name="E1.P_F.MR2">#REF!</definedName>
    <definedName name="E1.P_G" localSheetId="1">'CONSOLIDADO PLAN DESARROLLO'!$BP$22:$BP$23</definedName>
    <definedName name="E1.P_G">#REF!</definedName>
    <definedName name="E1.P_G.MR1" localSheetId="1">'CONSOLIDADO PLAN DESARROLLO'!$BU$96:$BU$98</definedName>
    <definedName name="E1.P_G.MR1">#REF!</definedName>
    <definedName name="E1.P_G.MR2" localSheetId="1">'CONSOLIDADO PLAN DESARROLLO'!$BU$99</definedName>
    <definedName name="E1.P_G.MR2">#REF!</definedName>
    <definedName name="E1.P_H" localSheetId="1">'CONSOLIDADO PLAN DESARROLLO'!$BP$24</definedName>
    <definedName name="E1.P_H">#REF!</definedName>
    <definedName name="E1.P_H.MR1" localSheetId="1">'CONSOLIDADO PLAN DESARROLLO'!$BU$100:$BU$106</definedName>
    <definedName name="E1.P_H.MR1">#REF!</definedName>
    <definedName name="E1.P_I" localSheetId="1">'CONSOLIDADO PLAN DESARROLLO'!$BP$25</definedName>
    <definedName name="E1.P_I">#REF!</definedName>
    <definedName name="E1.P_I.MR1" localSheetId="1">'CONSOLIDADO PLAN DESARROLLO'!$BU$107:$BU$109</definedName>
    <definedName name="E1.P_I.MR1">#REF!</definedName>
    <definedName name="E1.P_J" localSheetId="1">'CONSOLIDADO PLAN DESARROLLO'!$BP$26</definedName>
    <definedName name="E1.P_J">#REF!</definedName>
    <definedName name="E1.P_J.MR1" localSheetId="1">'CONSOLIDADO PLAN DESARROLLO'!$BU$110:$BU$111</definedName>
    <definedName name="E1.P_J.MR1">#REF!</definedName>
    <definedName name="E2." localSheetId="1">'CONSOLIDADO PLAN DESARROLLO'!$BK$19:$BK$24</definedName>
    <definedName name="E2.">#REF!</definedName>
    <definedName name="E2.P_A" localSheetId="1">'CONSOLIDADO PLAN DESARROLLO'!$BP$27</definedName>
    <definedName name="E2.P_A">#REF!</definedName>
    <definedName name="E2.P_A.MR1" localSheetId="1">'CONSOLIDADO PLAN DESARROLLO'!$BU$112:$BU$121</definedName>
    <definedName name="E2.P_A.MR1">#REF!</definedName>
    <definedName name="E2.P_B" localSheetId="1">'CONSOLIDADO PLAN DESARROLLO'!$BP$28</definedName>
    <definedName name="E2.P_B">#REF!</definedName>
    <definedName name="E2.P_B.MR1" localSheetId="1">'CONSOLIDADO PLAN DESARROLLO'!$BU$122:$BU$125</definedName>
    <definedName name="E2.P_B.MR1">#REF!</definedName>
    <definedName name="E2.P_C" localSheetId="1">'CONSOLIDADO PLAN DESARROLLO'!$BP$29</definedName>
    <definedName name="E2.P_C">#REF!</definedName>
    <definedName name="E2.P_C.MR1" localSheetId="1">'CONSOLIDADO PLAN DESARROLLO'!$BU$126:$BU$128</definedName>
    <definedName name="E2.P_C.MR1">#REF!</definedName>
    <definedName name="E2.P_D" localSheetId="1">'CONSOLIDADO PLAN DESARROLLO'!$BP$30</definedName>
    <definedName name="E2.P_D">#REF!</definedName>
    <definedName name="E2.P_D.MR1" localSheetId="1">'CONSOLIDADO PLAN DESARROLLO'!$BU$129:$BU$133</definedName>
    <definedName name="E2.P_D.MR1">#REF!</definedName>
    <definedName name="E2.P_E" localSheetId="1">'CONSOLIDADO PLAN DESARROLLO'!$BP$31</definedName>
    <definedName name="E2.P_E">#REF!</definedName>
    <definedName name="E2.P_E.MR1" localSheetId="1">'CONSOLIDADO PLAN DESARROLLO'!$BU$134:$BU$139</definedName>
    <definedName name="E2.P_E.MR1">#REF!</definedName>
    <definedName name="E2.P_F" localSheetId="1">'CONSOLIDADO PLAN DESARROLLO'!$BP$32:$BP$33</definedName>
    <definedName name="E2.P_F">#REF!</definedName>
    <definedName name="E2.P_F.MR1" localSheetId="1">'CONSOLIDADO PLAN DESARROLLO'!$BU$140:$BU$144</definedName>
    <definedName name="E2.P_F.MR1">#REF!</definedName>
    <definedName name="E2.P_F.MR2" localSheetId="1">'CONSOLIDADO PLAN DESARROLLO'!$BU$145:$BU$148</definedName>
    <definedName name="E2.P_F.MR2">#REF!</definedName>
    <definedName name="E3." localSheetId="1">'CONSOLIDADO PLAN DESARROLLO'!$BK$25:$BK$36</definedName>
    <definedName name="E3.">#REF!</definedName>
    <definedName name="E3.P_A" localSheetId="1">'CONSOLIDADO PLAN DESARROLLO'!$BP$34</definedName>
    <definedName name="E3.P_A">#REF!</definedName>
    <definedName name="E3.P_A.MR1" localSheetId="1">'CONSOLIDADO PLAN DESARROLLO'!$BU$149:$BU$169</definedName>
    <definedName name="E3.P_A.MR1">#REF!</definedName>
    <definedName name="E3.P_B" localSheetId="1">'CONSOLIDADO PLAN DESARROLLO'!$BP$35</definedName>
    <definedName name="E3.P_B">#REF!</definedName>
    <definedName name="E3.P_B.MR1" localSheetId="1">'CONSOLIDADO PLAN DESARROLLO'!$BU$170:$BU$182</definedName>
    <definedName name="E3.P_B.MR1">#REF!</definedName>
    <definedName name="E3.P_C" localSheetId="1">'CONSOLIDADO PLAN DESARROLLO'!$BP$36:$BP$37</definedName>
    <definedName name="E3.P_C">#REF!</definedName>
    <definedName name="E3.P_C.MR1" localSheetId="1">'CONSOLIDADO PLAN DESARROLLO'!$BU$183:$BU$185</definedName>
    <definedName name="E3.P_C.MR1">#REF!</definedName>
    <definedName name="E3.P_C.MR2" localSheetId="1">'CONSOLIDADO PLAN DESARROLLO'!$BU$186</definedName>
    <definedName name="E3.P_C.MR2">#REF!</definedName>
    <definedName name="E3.P_D" localSheetId="1">'CONSOLIDADO PLAN DESARROLLO'!$BP$38:$BP$39</definedName>
    <definedName name="E3.P_D">#REF!</definedName>
    <definedName name="E3.P_D.MR1" localSheetId="1">'CONSOLIDADO PLAN DESARROLLO'!$BU$187:$BU$192</definedName>
    <definedName name="E3.P_D.MR1">#REF!</definedName>
    <definedName name="E3.P_D.MR2" localSheetId="1">'CONSOLIDADO PLAN DESARROLLO'!$BU$193:$BU$195</definedName>
    <definedName name="E3.P_D.MR2">#REF!</definedName>
    <definedName name="E3.P_E" localSheetId="1">'CONSOLIDADO PLAN DESARROLLO'!$BP$40</definedName>
    <definedName name="E3.P_E">#REF!</definedName>
    <definedName name="E3.P_E.MR1" localSheetId="1">'CONSOLIDADO PLAN DESARROLLO'!$BU$196:$BU$201</definedName>
    <definedName name="E3.P_E.MR1">#REF!</definedName>
    <definedName name="E3.P_F" localSheetId="1">'CONSOLIDADO PLAN DESARROLLO'!$BP$41</definedName>
    <definedName name="E3.P_F">#REF!</definedName>
    <definedName name="E3.P_F.MR1" localSheetId="1">'CONSOLIDADO PLAN DESARROLLO'!$BU$202:$BU$206</definedName>
    <definedName name="E3.P_F.MR1">#REF!</definedName>
    <definedName name="E3.P_G" localSheetId="1">'CONSOLIDADO PLAN DESARROLLO'!$BP$42</definedName>
    <definedName name="E3.P_G">#REF!</definedName>
    <definedName name="E3.P_G.MR1" localSheetId="1">'CONSOLIDADO PLAN DESARROLLO'!$BU$207:$BU$211</definedName>
    <definedName name="E3.P_G.MR1">#REF!</definedName>
    <definedName name="E3.P_H" localSheetId="1">'CONSOLIDADO PLAN DESARROLLO'!$BP$43</definedName>
    <definedName name="E3.P_H">#REF!</definedName>
    <definedName name="E3.P_H.MR1" localSheetId="1">'CONSOLIDADO PLAN DESARROLLO'!$BU$212:$BU$218</definedName>
    <definedName name="E3.P_H.MR1">#REF!</definedName>
    <definedName name="E3.P_I" localSheetId="1">'CONSOLIDADO PLAN DESARROLLO'!$BP$44</definedName>
    <definedName name="E3.P_I">#REF!</definedName>
    <definedName name="E3.P_I.MR1" localSheetId="1">'CONSOLIDADO PLAN DESARROLLO'!$BU$219:$BU$221</definedName>
    <definedName name="E3.P_I.MR1">#REF!</definedName>
    <definedName name="E3.P_J" localSheetId="1">'CONSOLIDADO PLAN DESARROLLO'!$BP$45</definedName>
    <definedName name="E3.P_J">#REF!</definedName>
    <definedName name="E3.P_J.MR1" localSheetId="1">'CONSOLIDADO PLAN DESARROLLO'!$BU$222:$BU$229</definedName>
    <definedName name="E3.P_J.MR1">#REF!</definedName>
    <definedName name="E3.P_K" localSheetId="1">'CONSOLIDADO PLAN DESARROLLO'!$BP$46</definedName>
    <definedName name="E3.P_K">#REF!</definedName>
    <definedName name="E3.P_K.MR1" localSheetId="1">'CONSOLIDADO PLAN DESARROLLO'!$BU$230</definedName>
    <definedName name="E3.P_K.MR1">#REF!</definedName>
    <definedName name="E3.P_L" localSheetId="1">'CONSOLIDADO PLAN DESARROLLO'!$BP$47:$BP$50</definedName>
    <definedName name="E3.P_L">#REF!</definedName>
    <definedName name="E3.P_L.MR1" localSheetId="1">'CONSOLIDADO PLAN DESARROLLO'!$BU$231:$BU$240</definedName>
    <definedName name="E3.P_L.MR1">#REF!</definedName>
    <definedName name="E3.P_L.MR2" localSheetId="1">'CONSOLIDADO PLAN DESARROLLO'!$BU$241:$BU$249</definedName>
    <definedName name="E3.P_L.MR2">#REF!</definedName>
    <definedName name="E3.P_L.MR3" localSheetId="1">'CONSOLIDADO PLAN DESARROLLO'!$BU$250:$BU$252</definedName>
    <definedName name="E3.P_L.MR3">#REF!</definedName>
    <definedName name="E3.P_L.MR4" localSheetId="1">'CONSOLIDADO PLAN DESARROLLO'!$BU$253:$BU$256</definedName>
    <definedName name="E3.P_L.MR4">#REF!</definedName>
    <definedName name="E4." localSheetId="1">'CONSOLIDADO PLAN DESARROLLO'!$BK$37:$BK$41</definedName>
    <definedName name="E4.">#REF!</definedName>
    <definedName name="E4.P_A" localSheetId="1">'CONSOLIDADO PLAN DESARROLLO'!$BP$51:$BP$54</definedName>
    <definedName name="E4.P_A">#REF!</definedName>
    <definedName name="E4.P_A.MR1" localSheetId="1">'CONSOLIDADO PLAN DESARROLLO'!$BU$257:$BU$263</definedName>
    <definedName name="E4.P_A.MR1">#REF!</definedName>
    <definedName name="E4.P_A.MR2" localSheetId="1">'CONSOLIDADO PLAN DESARROLLO'!$BU$264:$BU$269</definedName>
    <definedName name="E4.P_A.MR2">#REF!</definedName>
    <definedName name="E4.P_A.MR3" localSheetId="1">'CONSOLIDADO PLAN DESARROLLO'!$BU$270:$BU$272</definedName>
    <definedName name="E4.P_A.MR3">#REF!</definedName>
    <definedName name="E4.P_A.MR4" localSheetId="1">'CONSOLIDADO PLAN DESARROLLO'!$BU$273:$BU$275</definedName>
    <definedName name="E4.P_A.MR4">#REF!</definedName>
    <definedName name="E4.P_B" localSheetId="1">'CONSOLIDADO PLAN DESARROLLO'!$BP$55</definedName>
    <definedName name="E4.P_B">#REF!</definedName>
    <definedName name="E4.P_B.MR1" localSheetId="1">'CONSOLIDADO PLAN DESARROLLO'!$BU$276:$BU$281</definedName>
    <definedName name="E4.P_B.MR1">#REF!</definedName>
    <definedName name="E4.P_C" localSheetId="1">'CONSOLIDADO PLAN DESARROLLO'!$BP$56</definedName>
    <definedName name="E4.P_C">#REF!</definedName>
    <definedName name="E4.P_C.MR1" localSheetId="1">'CONSOLIDADO PLAN DESARROLLO'!$BU$282:$BU$283</definedName>
    <definedName name="E4.P_C.MR1">#REF!</definedName>
    <definedName name="E4.P_D" localSheetId="1">'CONSOLIDADO PLAN DESARROLLO'!$BP$57:$BP$59</definedName>
    <definedName name="E4.P_D">#REF!</definedName>
    <definedName name="E4.P_D.MR1" localSheetId="1">'CONSOLIDADO PLAN DESARROLLO'!$BU$284:$BU$295</definedName>
    <definedName name="E4.P_D.MR1">#REF!</definedName>
    <definedName name="E4.P_D.MR2" localSheetId="1">'CONSOLIDADO PLAN DESARROLLO'!$BU$296:$BU$297</definedName>
    <definedName name="E4.P_D.MR2">#REF!</definedName>
    <definedName name="E4.P_D.MR3" localSheetId="1">'CONSOLIDADO PLAN DESARROLLO'!$BU$298:$BU$299</definedName>
    <definedName name="E4.P_D.MR3">#REF!</definedName>
    <definedName name="E4.P_E" localSheetId="1">'CONSOLIDADO PLAN DESARROLLO'!$BP$60</definedName>
    <definedName name="E4.P_E">#REF!</definedName>
    <definedName name="E4.P_E.MR1" localSheetId="1">'CONSOLIDADO PLAN DESARROLLO'!$BU$300:$BU$305</definedName>
    <definedName name="E4.P_E.MR1">#REF!</definedName>
    <definedName name="EJES" localSheetId="1">'CONSOLIDADO PLAN DESARROLLO'!$BF$9:$BF$12</definedName>
    <definedName name="EJES">#REF!</definedName>
    <definedName name="META_DE_PRODUCTO" localSheetId="1">'CONSOLIDADO PLAN DESARROLLO'!$DH$9:$DH$305</definedName>
    <definedName name="META_DE_PRODUCTO">#REF!</definedName>
    <definedName name="META_RESULTADO" localSheetId="1">'CONSOLIDADO PLAN DESARROLLO'!$DC$9:$DC$62</definedName>
    <definedName name="META_RESULTADO" localSheetId="4">'[3]CONSOLIDADO PLAN DESARROLLO'!$DC$9:$DC$62</definedName>
    <definedName name="META_RESULTADO">#REF!</definedName>
    <definedName name="RESPONSABLE" localSheetId="1">[4]DEPENDENCIAS!$E$2:$E$44</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30" i="6" l="1"/>
  <c r="AK21" i="6"/>
  <c r="AK12" i="6"/>
  <c r="AH9" i="6"/>
  <c r="AI9" i="6"/>
  <c r="H31" i="6"/>
  <c r="G31" i="6"/>
  <c r="F31" i="6"/>
  <c r="E31" i="6"/>
  <c r="H22" i="6"/>
  <c r="G22" i="6"/>
  <c r="F22" i="6"/>
  <c r="E22" i="6"/>
  <c r="H13" i="6"/>
  <c r="G13" i="6"/>
  <c r="F13" i="6"/>
  <c r="E13" i="6"/>
  <c r="H9" i="6"/>
  <c r="G9" i="6"/>
  <c r="F9" i="6"/>
  <c r="E9" i="6"/>
  <c r="F304" i="11" l="1"/>
  <c r="K304" i="11" s="1"/>
  <c r="Q304" i="11" s="1"/>
  <c r="F303" i="11"/>
  <c r="K303" i="11" s="1"/>
  <c r="Q303" i="11" s="1"/>
  <c r="F302" i="11"/>
  <c r="K302" i="11" s="1"/>
  <c r="Q302" i="11" s="1"/>
  <c r="F301" i="11"/>
  <c r="K301" i="11" s="1"/>
  <c r="Q301" i="11" s="1"/>
  <c r="F300" i="11"/>
  <c r="K300" i="11" s="1"/>
  <c r="Q300" i="11" s="1"/>
  <c r="F299" i="11"/>
  <c r="K299" i="11" s="1"/>
  <c r="Q299" i="11" s="1"/>
  <c r="F298" i="11"/>
  <c r="K298" i="11" s="1"/>
  <c r="Q298" i="11" s="1"/>
  <c r="F297" i="11"/>
  <c r="K297" i="11" s="1"/>
  <c r="Q297" i="11" s="1"/>
  <c r="F296" i="11"/>
  <c r="K296" i="11" s="1"/>
  <c r="Q296" i="11" s="1"/>
  <c r="F295" i="11"/>
  <c r="K295" i="11" s="1"/>
  <c r="Q295" i="11" s="1"/>
  <c r="F294" i="11"/>
  <c r="K294" i="11" s="1"/>
  <c r="Q294" i="11" s="1"/>
  <c r="F293" i="11"/>
  <c r="K293" i="11" s="1"/>
  <c r="Q293" i="11" s="1"/>
  <c r="F292" i="11"/>
  <c r="K292" i="11" s="1"/>
  <c r="Q292" i="11" s="1"/>
  <c r="F291" i="11"/>
  <c r="K291" i="11" s="1"/>
  <c r="Q291" i="11" s="1"/>
  <c r="F290" i="11"/>
  <c r="K290" i="11" s="1"/>
  <c r="Q290" i="11" s="1"/>
  <c r="F289" i="11"/>
  <c r="K289" i="11" s="1"/>
  <c r="Q289" i="11" s="1"/>
  <c r="F288" i="11"/>
  <c r="K288" i="11" s="1"/>
  <c r="Q288" i="11" s="1"/>
  <c r="F287" i="11"/>
  <c r="K287" i="11" s="1"/>
  <c r="Q287" i="11" s="1"/>
  <c r="F286" i="11"/>
  <c r="K286" i="11" s="1"/>
  <c r="Q286" i="11" s="1"/>
  <c r="F285" i="11"/>
  <c r="K285" i="11" s="1"/>
  <c r="Q285" i="11" s="1"/>
  <c r="F284" i="11"/>
  <c r="K284" i="11" s="1"/>
  <c r="Q284" i="11" s="1"/>
  <c r="AM283" i="11"/>
  <c r="AT283" i="11" s="1"/>
  <c r="BA283" i="11" s="1"/>
  <c r="BB283" i="11" s="1"/>
  <c r="AG283" i="11"/>
  <c r="F283" i="11"/>
  <c r="K283" i="11" s="1"/>
  <c r="Q283" i="11" s="1"/>
  <c r="F282" i="11"/>
  <c r="K282" i="11" s="1"/>
  <c r="Q282" i="11" s="1"/>
  <c r="AM281" i="11"/>
  <c r="AT281" i="11" s="1"/>
  <c r="BA281" i="11" s="1"/>
  <c r="AL281" i="11"/>
  <c r="AS281" i="11" s="1"/>
  <c r="AZ281" i="11" s="1"/>
  <c r="AK281" i="11"/>
  <c r="AR281" i="11" s="1"/>
  <c r="AY281" i="11" s="1"/>
  <c r="AJ281" i="11"/>
  <c r="AQ281" i="11" s="1"/>
  <c r="AX281" i="11" s="1"/>
  <c r="AI281" i="11"/>
  <c r="AP281" i="11" s="1"/>
  <c r="AW281" i="11" s="1"/>
  <c r="AA281" i="11"/>
  <c r="AH281" i="11" s="1"/>
  <c r="AO281" i="11" s="1"/>
  <c r="AV281" i="11" s="1"/>
  <c r="F281" i="11"/>
  <c r="K281" i="11" s="1"/>
  <c r="Q281" i="11" s="1"/>
  <c r="F280" i="11"/>
  <c r="K280" i="11" s="1"/>
  <c r="Q280" i="11" s="1"/>
  <c r="F279" i="11"/>
  <c r="K279" i="11" s="1"/>
  <c r="Q279" i="11" s="1"/>
  <c r="F278" i="11"/>
  <c r="K278" i="11" s="1"/>
  <c r="Q278" i="11" s="1"/>
  <c r="F277" i="11"/>
  <c r="K277" i="11" s="1"/>
  <c r="Q277" i="11" s="1"/>
  <c r="F276" i="11"/>
  <c r="K276" i="11" s="1"/>
  <c r="Q276" i="11" s="1"/>
  <c r="AL275" i="11"/>
  <c r="AS275" i="11" s="1"/>
  <c r="AZ275" i="11" s="1"/>
  <c r="AK275" i="11"/>
  <c r="AR275" i="11" s="1"/>
  <c r="AY275" i="11" s="1"/>
  <c r="AI275" i="11"/>
  <c r="AP275" i="11" s="1"/>
  <c r="AW275" i="11" s="1"/>
  <c r="AF275" i="11"/>
  <c r="AM275" i="11" s="1"/>
  <c r="AT275" i="11" s="1"/>
  <c r="BA275" i="11" s="1"/>
  <c r="AC275" i="11"/>
  <c r="AJ275" i="11" s="1"/>
  <c r="AQ275" i="11" s="1"/>
  <c r="AX275" i="11" s="1"/>
  <c r="AA275" i="11"/>
  <c r="AH275" i="11" s="1"/>
  <c r="AO275" i="11" s="1"/>
  <c r="F275" i="11"/>
  <c r="K275" i="11" s="1"/>
  <c r="Q275" i="11" s="1"/>
  <c r="F274" i="11"/>
  <c r="K274" i="11" s="1"/>
  <c r="Q274" i="11" s="1"/>
  <c r="F273" i="11"/>
  <c r="K273" i="11" s="1"/>
  <c r="Q273" i="11" s="1"/>
  <c r="F272" i="11"/>
  <c r="K272" i="11" s="1"/>
  <c r="Q272" i="11" s="1"/>
  <c r="F271" i="11"/>
  <c r="K271" i="11" s="1"/>
  <c r="Q271" i="11" s="1"/>
  <c r="F270" i="11"/>
  <c r="K270" i="11" s="1"/>
  <c r="Q270" i="11" s="1"/>
  <c r="F269" i="11"/>
  <c r="K269" i="11" s="1"/>
  <c r="Q269" i="11" s="1"/>
  <c r="F268" i="11"/>
  <c r="K268" i="11" s="1"/>
  <c r="Q268" i="11" s="1"/>
  <c r="F267" i="11"/>
  <c r="K267" i="11" s="1"/>
  <c r="Q267" i="11" s="1"/>
  <c r="F266" i="11"/>
  <c r="K266" i="11" s="1"/>
  <c r="Q266" i="11" s="1"/>
  <c r="F265" i="11"/>
  <c r="K265" i="11" s="1"/>
  <c r="Q265" i="11" s="1"/>
  <c r="F264" i="11"/>
  <c r="K264" i="11" s="1"/>
  <c r="Q264" i="11" s="1"/>
  <c r="F263" i="11"/>
  <c r="K263" i="11" s="1"/>
  <c r="Q263" i="11" s="1"/>
  <c r="F262" i="11"/>
  <c r="K262" i="11" s="1"/>
  <c r="Q262" i="11" s="1"/>
  <c r="F261" i="11"/>
  <c r="K261" i="11" s="1"/>
  <c r="Q261" i="11" s="1"/>
  <c r="F260" i="11"/>
  <c r="K260" i="11" s="1"/>
  <c r="Q260" i="11" s="1"/>
  <c r="F259" i="11"/>
  <c r="K259" i="11" s="1"/>
  <c r="Q259" i="11" s="1"/>
  <c r="F258" i="11"/>
  <c r="K258" i="11" s="1"/>
  <c r="Q258" i="11" s="1"/>
  <c r="F257" i="11"/>
  <c r="K257" i="11" s="1"/>
  <c r="Q257" i="11" s="1"/>
  <c r="AL256" i="11"/>
  <c r="AS256" i="11" s="1"/>
  <c r="AZ256" i="11" s="1"/>
  <c r="AK256" i="11"/>
  <c r="AR256" i="11" s="1"/>
  <c r="AY256" i="11" s="1"/>
  <c r="AJ256" i="11"/>
  <c r="AQ256" i="11" s="1"/>
  <c r="AX256" i="11" s="1"/>
  <c r="AI256" i="11"/>
  <c r="AP256" i="11" s="1"/>
  <c r="AW256" i="11" s="1"/>
  <c r="AF256" i="11"/>
  <c r="AA256" i="11"/>
  <c r="AH256" i="11" s="1"/>
  <c r="F256" i="11"/>
  <c r="K256" i="11" s="1"/>
  <c r="Q256" i="11" s="1"/>
  <c r="F255" i="11"/>
  <c r="K255" i="11" s="1"/>
  <c r="Q255" i="11" s="1"/>
  <c r="F254" i="11"/>
  <c r="K254" i="11" s="1"/>
  <c r="Q254" i="11" s="1"/>
  <c r="F253" i="11"/>
  <c r="K253" i="11" s="1"/>
  <c r="Q253" i="11" s="1"/>
  <c r="F252" i="11"/>
  <c r="K252" i="11" s="1"/>
  <c r="Q252" i="11" s="1"/>
  <c r="F251" i="11"/>
  <c r="K251" i="11" s="1"/>
  <c r="Q251" i="11" s="1"/>
  <c r="F250" i="11"/>
  <c r="K250" i="11" s="1"/>
  <c r="Q250" i="11" s="1"/>
  <c r="F249" i="11"/>
  <c r="K249" i="11" s="1"/>
  <c r="Q249" i="11" s="1"/>
  <c r="F248" i="11"/>
  <c r="K248" i="11" s="1"/>
  <c r="Q248" i="11" s="1"/>
  <c r="F247" i="11"/>
  <c r="K247" i="11" s="1"/>
  <c r="Q247" i="11" s="1"/>
  <c r="F246" i="11"/>
  <c r="K246" i="11" s="1"/>
  <c r="Q246" i="11" s="1"/>
  <c r="F245" i="11"/>
  <c r="K245" i="11" s="1"/>
  <c r="Q245" i="11" s="1"/>
  <c r="F244" i="11"/>
  <c r="K244" i="11" s="1"/>
  <c r="Q244" i="11" s="1"/>
  <c r="F243" i="11"/>
  <c r="K243" i="11" s="1"/>
  <c r="Q243" i="11" s="1"/>
  <c r="F242" i="11"/>
  <c r="K242" i="11" s="1"/>
  <c r="Q242" i="11" s="1"/>
  <c r="F241" i="11"/>
  <c r="K241" i="11" s="1"/>
  <c r="Q241" i="11" s="1"/>
  <c r="F240" i="11"/>
  <c r="K240" i="11" s="1"/>
  <c r="Q240" i="11" s="1"/>
  <c r="F239" i="11"/>
  <c r="K239" i="11" s="1"/>
  <c r="Q239" i="11" s="1"/>
  <c r="F238" i="11"/>
  <c r="K238" i="11" s="1"/>
  <c r="Q238" i="11" s="1"/>
  <c r="F237" i="11"/>
  <c r="K237" i="11" s="1"/>
  <c r="Q237" i="11" s="1"/>
  <c r="F236" i="11"/>
  <c r="K236" i="11" s="1"/>
  <c r="Q236" i="11" s="1"/>
  <c r="F235" i="11"/>
  <c r="K235" i="11" s="1"/>
  <c r="Q235" i="11" s="1"/>
  <c r="F234" i="11"/>
  <c r="K234" i="11" s="1"/>
  <c r="Q234" i="11" s="1"/>
  <c r="F233" i="11"/>
  <c r="K233" i="11" s="1"/>
  <c r="Q233" i="11" s="1"/>
  <c r="F232" i="11"/>
  <c r="K232" i="11" s="1"/>
  <c r="Q232" i="11" s="1"/>
  <c r="F231" i="11"/>
  <c r="K231" i="11" s="1"/>
  <c r="Q231" i="11" s="1"/>
  <c r="AW230" i="11"/>
  <c r="AL230" i="11"/>
  <c r="AS230" i="11" s="1"/>
  <c r="AZ230" i="11" s="1"/>
  <c r="AK230" i="11"/>
  <c r="AR230" i="11" s="1"/>
  <c r="AY230" i="11" s="1"/>
  <c r="AA230" i="11"/>
  <c r="AH230" i="11" s="1"/>
  <c r="F230" i="11"/>
  <c r="K230" i="11" s="1"/>
  <c r="Q230" i="11" s="1"/>
  <c r="AM229" i="11"/>
  <c r="AT229" i="11" s="1"/>
  <c r="BA229" i="11" s="1"/>
  <c r="AL229" i="11"/>
  <c r="AS229" i="11" s="1"/>
  <c r="AZ229" i="11" s="1"/>
  <c r="AK229" i="11"/>
  <c r="AR229" i="11" s="1"/>
  <c r="AY229" i="11" s="1"/>
  <c r="AJ229" i="11"/>
  <c r="AQ229" i="11" s="1"/>
  <c r="AX229" i="11" s="1"/>
  <c r="AI229" i="11"/>
  <c r="AP229" i="11" s="1"/>
  <c r="AW229" i="11" s="1"/>
  <c r="AA229" i="11"/>
  <c r="AH229" i="11" s="1"/>
  <c r="AO229" i="11" s="1"/>
  <c r="AV229" i="11" s="1"/>
  <c r="F229" i="11"/>
  <c r="K229" i="11" s="1"/>
  <c r="Q229" i="11" s="1"/>
  <c r="F228" i="11"/>
  <c r="K228" i="11" s="1"/>
  <c r="Q228" i="11" s="1"/>
  <c r="F227" i="11"/>
  <c r="K227" i="11" s="1"/>
  <c r="Q227" i="11" s="1"/>
  <c r="F226" i="11"/>
  <c r="K226" i="11" s="1"/>
  <c r="Q226" i="11" s="1"/>
  <c r="F225" i="11"/>
  <c r="K225" i="11" s="1"/>
  <c r="Q225" i="11" s="1"/>
  <c r="F224" i="11"/>
  <c r="K224" i="11" s="1"/>
  <c r="Q224" i="11" s="1"/>
  <c r="F223" i="11"/>
  <c r="K223" i="11" s="1"/>
  <c r="Q223" i="11" s="1"/>
  <c r="F222" i="11"/>
  <c r="K222" i="11" s="1"/>
  <c r="Q222" i="11" s="1"/>
  <c r="AM221" i="11"/>
  <c r="AT221" i="11" s="1"/>
  <c r="BA221" i="11" s="1"/>
  <c r="AL221" i="11"/>
  <c r="AS221" i="11" s="1"/>
  <c r="AZ221" i="11" s="1"/>
  <c r="AK221" i="11"/>
  <c r="AR221" i="11" s="1"/>
  <c r="AY221" i="11" s="1"/>
  <c r="AJ221" i="11"/>
  <c r="AQ221" i="11" s="1"/>
  <c r="AX221" i="11" s="1"/>
  <c r="AI221" i="11"/>
  <c r="AP221" i="11" s="1"/>
  <c r="AG221" i="11"/>
  <c r="F221" i="11"/>
  <c r="K221" i="11" s="1"/>
  <c r="Q221" i="11" s="1"/>
  <c r="F220" i="11"/>
  <c r="K220" i="11" s="1"/>
  <c r="Q220" i="11" s="1"/>
  <c r="F219" i="11"/>
  <c r="K219" i="11" s="1"/>
  <c r="Q219" i="11" s="1"/>
  <c r="AM218" i="11"/>
  <c r="AT218" i="11" s="1"/>
  <c r="BA218" i="11" s="1"/>
  <c r="AL218" i="11"/>
  <c r="AS218" i="11" s="1"/>
  <c r="AZ218" i="11" s="1"/>
  <c r="AK218" i="11"/>
  <c r="AR218" i="11" s="1"/>
  <c r="AY218" i="11" s="1"/>
  <c r="AJ218" i="11"/>
  <c r="AQ218" i="11" s="1"/>
  <c r="AX218" i="11" s="1"/>
  <c r="AI218" i="11"/>
  <c r="AP218" i="11" s="1"/>
  <c r="AG218" i="11"/>
  <c r="F218" i="11"/>
  <c r="K218" i="11" s="1"/>
  <c r="Q218" i="11" s="1"/>
  <c r="F217" i="11"/>
  <c r="K217" i="11" s="1"/>
  <c r="Q217" i="11" s="1"/>
  <c r="F216" i="11"/>
  <c r="K216" i="11" s="1"/>
  <c r="Q216" i="11" s="1"/>
  <c r="F215" i="11"/>
  <c r="K215" i="11" s="1"/>
  <c r="Q215" i="11" s="1"/>
  <c r="F214" i="11"/>
  <c r="K214" i="11" s="1"/>
  <c r="Q214" i="11" s="1"/>
  <c r="F213" i="11"/>
  <c r="K213" i="11" s="1"/>
  <c r="Q213" i="11" s="1"/>
  <c r="F212" i="11"/>
  <c r="K212" i="11" s="1"/>
  <c r="Q212" i="11" s="1"/>
  <c r="AM211" i="11"/>
  <c r="AT211" i="11" s="1"/>
  <c r="AL211" i="11"/>
  <c r="AS211" i="11" s="1"/>
  <c r="AZ211" i="11" s="1"/>
  <c r="AK211" i="11"/>
  <c r="AR211" i="11" s="1"/>
  <c r="AY211" i="11" s="1"/>
  <c r="AI211" i="11"/>
  <c r="AG211" i="11"/>
  <c r="F211" i="11"/>
  <c r="K211" i="11" s="1"/>
  <c r="Q211" i="11" s="1"/>
  <c r="F210" i="11"/>
  <c r="K210" i="11" s="1"/>
  <c r="Q210" i="11" s="1"/>
  <c r="F209" i="11"/>
  <c r="K209" i="11" s="1"/>
  <c r="Q209" i="11" s="1"/>
  <c r="F208" i="11"/>
  <c r="K208" i="11" s="1"/>
  <c r="Q208" i="11" s="1"/>
  <c r="F207" i="11"/>
  <c r="K207" i="11" s="1"/>
  <c r="Q207" i="11" s="1"/>
  <c r="AL206" i="11"/>
  <c r="AS206" i="11" s="1"/>
  <c r="AZ206" i="11" s="1"/>
  <c r="AK206" i="11"/>
  <c r="AR206" i="11" s="1"/>
  <c r="AY206" i="11" s="1"/>
  <c r="AI206" i="11"/>
  <c r="AG206" i="11"/>
  <c r="F206" i="11"/>
  <c r="K206" i="11" s="1"/>
  <c r="Q206" i="11" s="1"/>
  <c r="F205" i="11"/>
  <c r="K205" i="11" s="1"/>
  <c r="Q205" i="11" s="1"/>
  <c r="F204" i="11"/>
  <c r="K204" i="11" s="1"/>
  <c r="Q204" i="11" s="1"/>
  <c r="F203" i="11"/>
  <c r="K203" i="11" s="1"/>
  <c r="Q203" i="11" s="1"/>
  <c r="F202" i="11"/>
  <c r="K202" i="11" s="1"/>
  <c r="Q202" i="11" s="1"/>
  <c r="AL201" i="11"/>
  <c r="AS201" i="11" s="1"/>
  <c r="AZ201" i="11" s="1"/>
  <c r="AK201" i="11"/>
  <c r="AR201" i="11" s="1"/>
  <c r="AY201" i="11" s="1"/>
  <c r="AI201" i="11"/>
  <c r="AP201" i="11" s="1"/>
  <c r="AG201" i="11"/>
  <c r="F201" i="11"/>
  <c r="K201" i="11" s="1"/>
  <c r="Q201" i="11" s="1"/>
  <c r="F200" i="11"/>
  <c r="K200" i="11" s="1"/>
  <c r="Q200" i="11" s="1"/>
  <c r="F199" i="11"/>
  <c r="K199" i="11" s="1"/>
  <c r="Q199" i="11" s="1"/>
  <c r="F198" i="11"/>
  <c r="K198" i="11" s="1"/>
  <c r="Q198" i="11" s="1"/>
  <c r="F197" i="11"/>
  <c r="K197" i="11" s="1"/>
  <c r="Q197" i="11" s="1"/>
  <c r="F196" i="11"/>
  <c r="K196" i="11" s="1"/>
  <c r="Q196" i="11" s="1"/>
  <c r="AM195" i="11"/>
  <c r="AT195" i="11" s="1"/>
  <c r="BA195" i="11" s="1"/>
  <c r="AL195" i="11"/>
  <c r="AS195" i="11" s="1"/>
  <c r="AZ195" i="11" s="1"/>
  <c r="AK195" i="11"/>
  <c r="AR195" i="11" s="1"/>
  <c r="AY195" i="11" s="1"/>
  <c r="AJ195" i="11"/>
  <c r="AQ195" i="11" s="1"/>
  <c r="AX195" i="11" s="1"/>
  <c r="AI195" i="11"/>
  <c r="AP195" i="11" s="1"/>
  <c r="AW195" i="11" s="1"/>
  <c r="AA195" i="11"/>
  <c r="AH195" i="11" s="1"/>
  <c r="AO195" i="11" s="1"/>
  <c r="F195" i="11"/>
  <c r="K195" i="11" s="1"/>
  <c r="Q195" i="11" s="1"/>
  <c r="F194" i="11"/>
  <c r="K194" i="11" s="1"/>
  <c r="Q194" i="11" s="1"/>
  <c r="F193" i="11"/>
  <c r="K193" i="11" s="1"/>
  <c r="Q193" i="11" s="1"/>
  <c r="F192" i="11"/>
  <c r="K192" i="11" s="1"/>
  <c r="Q192" i="11" s="1"/>
  <c r="F191" i="11"/>
  <c r="K191" i="11" s="1"/>
  <c r="Q191" i="11" s="1"/>
  <c r="F190" i="11"/>
  <c r="K190" i="11" s="1"/>
  <c r="Q190" i="11" s="1"/>
  <c r="F189" i="11"/>
  <c r="K189" i="11" s="1"/>
  <c r="Q189" i="11" s="1"/>
  <c r="F188" i="11"/>
  <c r="K188" i="11" s="1"/>
  <c r="Q188" i="11" s="1"/>
  <c r="F187" i="11"/>
  <c r="K187" i="11" s="1"/>
  <c r="Q187" i="11" s="1"/>
  <c r="BA186" i="11"/>
  <c r="AZ186" i="11"/>
  <c r="AX186" i="11"/>
  <c r="AW186" i="11"/>
  <c r="AQ186" i="11"/>
  <c r="AM186" i="11"/>
  <c r="AT186" i="11" s="1"/>
  <c r="AL186" i="11"/>
  <c r="AS186" i="11" s="1"/>
  <c r="AI186" i="11"/>
  <c r="AP186" i="11" s="1"/>
  <c r="AD186" i="11"/>
  <c r="AK186" i="11" s="1"/>
  <c r="AR186" i="11" s="1"/>
  <c r="AA186" i="11"/>
  <c r="F186" i="11"/>
  <c r="K186" i="11" s="1"/>
  <c r="Q186" i="11" s="1"/>
  <c r="F185" i="11"/>
  <c r="K185" i="11" s="1"/>
  <c r="Q185" i="11" s="1"/>
  <c r="F184" i="11"/>
  <c r="K184" i="11" s="1"/>
  <c r="Q184" i="11" s="1"/>
  <c r="F183" i="11"/>
  <c r="K183" i="11" s="1"/>
  <c r="Q183" i="11" s="1"/>
  <c r="AM182" i="11"/>
  <c r="AT182" i="11" s="1"/>
  <c r="BA182" i="11" s="1"/>
  <c r="AL182" i="11"/>
  <c r="AS182" i="11" s="1"/>
  <c r="AZ182" i="11" s="1"/>
  <c r="AK182" i="11"/>
  <c r="AR182" i="11" s="1"/>
  <c r="AY182" i="11" s="1"/>
  <c r="AJ182" i="11"/>
  <c r="AQ182" i="11" s="1"/>
  <c r="AX182" i="11" s="1"/>
  <c r="AB182" i="11"/>
  <c r="AI182" i="11" s="1"/>
  <c r="AP182" i="11" s="1"/>
  <c r="AW182" i="11" s="1"/>
  <c r="AA182" i="11"/>
  <c r="F182" i="11"/>
  <c r="K182" i="11" s="1"/>
  <c r="Q182" i="11" s="1"/>
  <c r="F181" i="11"/>
  <c r="K181" i="11" s="1"/>
  <c r="Q181" i="11" s="1"/>
  <c r="F180" i="11"/>
  <c r="K180" i="11" s="1"/>
  <c r="Q180" i="11" s="1"/>
  <c r="F179" i="11"/>
  <c r="K179" i="11" s="1"/>
  <c r="Q179" i="11" s="1"/>
  <c r="F178" i="11"/>
  <c r="K178" i="11" s="1"/>
  <c r="Q178" i="11" s="1"/>
  <c r="F177" i="11"/>
  <c r="K177" i="11" s="1"/>
  <c r="Q177" i="11" s="1"/>
  <c r="F176" i="11"/>
  <c r="K176" i="11" s="1"/>
  <c r="Q176" i="11" s="1"/>
  <c r="F175" i="11"/>
  <c r="K175" i="11" s="1"/>
  <c r="Q175" i="11" s="1"/>
  <c r="F174" i="11"/>
  <c r="K174" i="11" s="1"/>
  <c r="Q174" i="11" s="1"/>
  <c r="F173" i="11"/>
  <c r="K173" i="11" s="1"/>
  <c r="Q173" i="11" s="1"/>
  <c r="F172" i="11"/>
  <c r="K172" i="11" s="1"/>
  <c r="Q172" i="11" s="1"/>
  <c r="F171" i="11"/>
  <c r="K171" i="11" s="1"/>
  <c r="Q171" i="11" s="1"/>
  <c r="F170" i="11"/>
  <c r="K170" i="11" s="1"/>
  <c r="Q170" i="11" s="1"/>
  <c r="AL169" i="11"/>
  <c r="AS169" i="11" s="1"/>
  <c r="AZ169" i="11" s="1"/>
  <c r="AK169" i="11"/>
  <c r="AR169" i="11" s="1"/>
  <c r="AY169" i="11" s="1"/>
  <c r="AI169" i="11"/>
  <c r="AP169" i="11" s="1"/>
  <c r="AW169" i="11" s="1"/>
  <c r="AF169" i="11"/>
  <c r="AM169" i="11" s="1"/>
  <c r="AT169" i="11" s="1"/>
  <c r="BA169" i="11" s="1"/>
  <c r="AC169" i="11"/>
  <c r="AJ169" i="11" s="1"/>
  <c r="AQ169" i="11" s="1"/>
  <c r="AX169" i="11" s="1"/>
  <c r="AA169" i="11"/>
  <c r="F169" i="11"/>
  <c r="K169" i="11" s="1"/>
  <c r="Q169" i="11" s="1"/>
  <c r="F168" i="11"/>
  <c r="K168" i="11" s="1"/>
  <c r="Q168" i="11" s="1"/>
  <c r="F167" i="11"/>
  <c r="K167" i="11" s="1"/>
  <c r="Q167" i="11" s="1"/>
  <c r="F166" i="11"/>
  <c r="K166" i="11" s="1"/>
  <c r="Q166" i="11" s="1"/>
  <c r="F165" i="11"/>
  <c r="K165" i="11" s="1"/>
  <c r="Q165" i="11" s="1"/>
  <c r="F164" i="11"/>
  <c r="K164" i="11" s="1"/>
  <c r="Q164" i="11" s="1"/>
  <c r="F163" i="11"/>
  <c r="K163" i="11" s="1"/>
  <c r="Q163" i="11" s="1"/>
  <c r="F162" i="11"/>
  <c r="K162" i="11" s="1"/>
  <c r="Q162" i="11" s="1"/>
  <c r="F161" i="11"/>
  <c r="K161" i="11" s="1"/>
  <c r="Q161" i="11" s="1"/>
  <c r="F160" i="11"/>
  <c r="K160" i="11" s="1"/>
  <c r="Q160" i="11" s="1"/>
  <c r="F159" i="11"/>
  <c r="K159" i="11" s="1"/>
  <c r="Q159" i="11" s="1"/>
  <c r="F158" i="11"/>
  <c r="K158" i="11" s="1"/>
  <c r="Q158" i="11" s="1"/>
  <c r="F157" i="11"/>
  <c r="K157" i="11" s="1"/>
  <c r="Q157" i="11" s="1"/>
  <c r="F156" i="11"/>
  <c r="K156" i="11" s="1"/>
  <c r="Q156" i="11" s="1"/>
  <c r="F155" i="11"/>
  <c r="K155" i="11" s="1"/>
  <c r="Q155" i="11" s="1"/>
  <c r="F154" i="11"/>
  <c r="K154" i="11" s="1"/>
  <c r="Q154" i="11" s="1"/>
  <c r="F153" i="11"/>
  <c r="K153" i="11" s="1"/>
  <c r="Q153" i="11" s="1"/>
  <c r="F152" i="11"/>
  <c r="K152" i="11" s="1"/>
  <c r="Q152" i="11" s="1"/>
  <c r="F151" i="11"/>
  <c r="K151" i="11" s="1"/>
  <c r="Q151" i="11" s="1"/>
  <c r="F150" i="11"/>
  <c r="K150" i="11" s="1"/>
  <c r="Q150" i="11" s="1"/>
  <c r="F149" i="11"/>
  <c r="K149" i="11" s="1"/>
  <c r="Q149" i="11" s="1"/>
  <c r="AX148" i="11"/>
  <c r="AR148" i="11"/>
  <c r="AY148" i="11" s="1"/>
  <c r="AP148" i="11"/>
  <c r="AW148" i="11" s="1"/>
  <c r="AL148" i="11"/>
  <c r="AS148" i="11" s="1"/>
  <c r="AZ148" i="11" s="1"/>
  <c r="AJ148" i="11"/>
  <c r="AF148" i="11"/>
  <c r="AM148" i="11" s="1"/>
  <c r="AT148" i="11" s="1"/>
  <c r="BA148" i="11" s="1"/>
  <c r="AC148" i="11"/>
  <c r="AA148" i="11"/>
  <c r="F148" i="11"/>
  <c r="K148" i="11" s="1"/>
  <c r="Q148" i="11" s="1"/>
  <c r="F147" i="11"/>
  <c r="K147" i="11" s="1"/>
  <c r="Q147" i="11" s="1"/>
  <c r="F146" i="11"/>
  <c r="K146" i="11" s="1"/>
  <c r="Q146" i="11" s="1"/>
  <c r="F145" i="11"/>
  <c r="K145" i="11" s="1"/>
  <c r="Q145" i="11" s="1"/>
  <c r="F144" i="11"/>
  <c r="K144" i="11" s="1"/>
  <c r="Q144" i="11" s="1"/>
  <c r="F143" i="11"/>
  <c r="K143" i="11" s="1"/>
  <c r="Q143" i="11" s="1"/>
  <c r="F142" i="11"/>
  <c r="K142" i="11" s="1"/>
  <c r="Q142" i="11" s="1"/>
  <c r="F141" i="11"/>
  <c r="K141" i="11" s="1"/>
  <c r="Q141" i="11" s="1"/>
  <c r="F140" i="11"/>
  <c r="K140" i="11" s="1"/>
  <c r="Q140" i="11" s="1"/>
  <c r="AM139" i="11"/>
  <c r="AT139" i="11" s="1"/>
  <c r="BA139" i="11" s="1"/>
  <c r="AL139" i="11"/>
  <c r="AS139" i="11" s="1"/>
  <c r="AZ139" i="11" s="1"/>
  <c r="AK139" i="11"/>
  <c r="AR139" i="11" s="1"/>
  <c r="AY139" i="11" s="1"/>
  <c r="AJ139" i="11"/>
  <c r="AQ139" i="11" s="1"/>
  <c r="AX139" i="11" s="1"/>
  <c r="AI139" i="11"/>
  <c r="AP139" i="11" s="1"/>
  <c r="AW139" i="11" s="1"/>
  <c r="AH139" i="11"/>
  <c r="AO139" i="11" s="1"/>
  <c r="AG139" i="11"/>
  <c r="F139" i="11"/>
  <c r="K139" i="11" s="1"/>
  <c r="Q139" i="11" s="1"/>
  <c r="F138" i="11"/>
  <c r="K138" i="11" s="1"/>
  <c r="Q138" i="11" s="1"/>
  <c r="F137" i="11"/>
  <c r="K137" i="11" s="1"/>
  <c r="Q137" i="11" s="1"/>
  <c r="F136" i="11"/>
  <c r="K136" i="11" s="1"/>
  <c r="Q136" i="11" s="1"/>
  <c r="F135" i="11"/>
  <c r="K135" i="11" s="1"/>
  <c r="Q135" i="11" s="1"/>
  <c r="F134" i="11"/>
  <c r="K134" i="11" s="1"/>
  <c r="Q134" i="11" s="1"/>
  <c r="AL133" i="11"/>
  <c r="AS133" i="11" s="1"/>
  <c r="AZ133" i="11" s="1"/>
  <c r="AK133" i="11"/>
  <c r="AR133" i="11" s="1"/>
  <c r="AY133" i="11" s="1"/>
  <c r="AJ133" i="11"/>
  <c r="AQ133" i="11" s="1"/>
  <c r="AX133" i="11" s="1"/>
  <c r="AI133" i="11"/>
  <c r="AP133" i="11" s="1"/>
  <c r="AW133" i="11" s="1"/>
  <c r="AF133" i="11"/>
  <c r="AM133" i="11" s="1"/>
  <c r="AT133" i="11" s="1"/>
  <c r="BA133" i="11" s="1"/>
  <c r="AA133" i="11"/>
  <c r="F133" i="11"/>
  <c r="K133" i="11" s="1"/>
  <c r="Q133" i="11" s="1"/>
  <c r="F132" i="11"/>
  <c r="K132" i="11" s="1"/>
  <c r="Q132" i="11" s="1"/>
  <c r="F131" i="11"/>
  <c r="K131" i="11" s="1"/>
  <c r="Q131" i="11" s="1"/>
  <c r="F130" i="11"/>
  <c r="K130" i="11" s="1"/>
  <c r="Q130" i="11" s="1"/>
  <c r="F129" i="11"/>
  <c r="K129" i="11" s="1"/>
  <c r="Q129" i="11" s="1"/>
  <c r="AM128" i="11"/>
  <c r="AT128" i="11" s="1"/>
  <c r="BA128" i="11" s="1"/>
  <c r="AL128" i="11"/>
  <c r="AS128" i="11" s="1"/>
  <c r="AZ128" i="11" s="1"/>
  <c r="AK128" i="11"/>
  <c r="AR128" i="11" s="1"/>
  <c r="AY128" i="11" s="1"/>
  <c r="AJ128" i="11"/>
  <c r="AQ128" i="11" s="1"/>
  <c r="AX128" i="11" s="1"/>
  <c r="AI128" i="11"/>
  <c r="AP128" i="11" s="1"/>
  <c r="AW128" i="11" s="1"/>
  <c r="AA128" i="11"/>
  <c r="AG128" i="11" s="1"/>
  <c r="F128" i="11"/>
  <c r="K128" i="11" s="1"/>
  <c r="Q128" i="11" s="1"/>
  <c r="F127" i="11"/>
  <c r="K127" i="11" s="1"/>
  <c r="Q127" i="11" s="1"/>
  <c r="F126" i="11"/>
  <c r="K126" i="11" s="1"/>
  <c r="Q126" i="11" s="1"/>
  <c r="AM125" i="11"/>
  <c r="AT125" i="11" s="1"/>
  <c r="BA125" i="11" s="1"/>
  <c r="AL125" i="11"/>
  <c r="AS125" i="11" s="1"/>
  <c r="AZ125" i="11" s="1"/>
  <c r="AK125" i="11"/>
  <c r="AR125" i="11" s="1"/>
  <c r="AY125" i="11" s="1"/>
  <c r="AI125" i="11"/>
  <c r="AP125" i="11" s="1"/>
  <c r="AW125" i="11" s="1"/>
  <c r="AC125" i="11"/>
  <c r="AJ125" i="11" s="1"/>
  <c r="AQ125" i="11" s="1"/>
  <c r="AX125" i="11" s="1"/>
  <c r="AA125" i="11"/>
  <c r="F125" i="11"/>
  <c r="K125" i="11" s="1"/>
  <c r="Q125" i="11" s="1"/>
  <c r="F124" i="11"/>
  <c r="K124" i="11" s="1"/>
  <c r="Q124" i="11" s="1"/>
  <c r="F123" i="11"/>
  <c r="K123" i="11" s="1"/>
  <c r="Q123" i="11" s="1"/>
  <c r="F122" i="11"/>
  <c r="K122" i="11" s="1"/>
  <c r="Q122" i="11" s="1"/>
  <c r="AM121" i="11"/>
  <c r="AT121" i="11" s="1"/>
  <c r="BA121" i="11" s="1"/>
  <c r="AL121" i="11"/>
  <c r="AS121" i="11" s="1"/>
  <c r="AZ121" i="11" s="1"/>
  <c r="AK121" i="11"/>
  <c r="AR121" i="11" s="1"/>
  <c r="AY121" i="11" s="1"/>
  <c r="AJ121" i="11"/>
  <c r="AQ121" i="11" s="1"/>
  <c r="AX121" i="11" s="1"/>
  <c r="AI121" i="11"/>
  <c r="AP121" i="11" s="1"/>
  <c r="AW121" i="11" s="1"/>
  <c r="AA121" i="11"/>
  <c r="AH121" i="11" s="1"/>
  <c r="F121" i="11"/>
  <c r="K121" i="11" s="1"/>
  <c r="Q121" i="11" s="1"/>
  <c r="F120" i="11"/>
  <c r="K120" i="11" s="1"/>
  <c r="Q120" i="11" s="1"/>
  <c r="F119" i="11"/>
  <c r="K119" i="11" s="1"/>
  <c r="Q119" i="11" s="1"/>
  <c r="F118" i="11"/>
  <c r="K118" i="11" s="1"/>
  <c r="Q118" i="11" s="1"/>
  <c r="F117" i="11"/>
  <c r="K117" i="11" s="1"/>
  <c r="Q117" i="11" s="1"/>
  <c r="F116" i="11"/>
  <c r="K116" i="11" s="1"/>
  <c r="Q116" i="11" s="1"/>
  <c r="F115" i="11"/>
  <c r="K115" i="11" s="1"/>
  <c r="Q115" i="11" s="1"/>
  <c r="F114" i="11"/>
  <c r="K114" i="11" s="1"/>
  <c r="Q114" i="11" s="1"/>
  <c r="F113" i="11"/>
  <c r="K113" i="11" s="1"/>
  <c r="Q113" i="11" s="1"/>
  <c r="F112" i="11"/>
  <c r="K112" i="11" s="1"/>
  <c r="Q112" i="11" s="1"/>
  <c r="AM111" i="11"/>
  <c r="AT111" i="11" s="1"/>
  <c r="BA111" i="11" s="1"/>
  <c r="AL111" i="11"/>
  <c r="AS111" i="11" s="1"/>
  <c r="AZ111" i="11" s="1"/>
  <c r="AK111" i="11"/>
  <c r="AR111" i="11" s="1"/>
  <c r="AY111" i="11" s="1"/>
  <c r="AJ111" i="11"/>
  <c r="AQ111" i="11" s="1"/>
  <c r="AX111" i="11" s="1"/>
  <c r="AI111" i="11"/>
  <c r="AP111" i="11" s="1"/>
  <c r="AW111" i="11" s="1"/>
  <c r="AH111" i="11"/>
  <c r="AO111" i="11" s="1"/>
  <c r="AG111" i="11"/>
  <c r="F111" i="11"/>
  <c r="K111" i="11" s="1"/>
  <c r="Q111" i="11" s="1"/>
  <c r="F110" i="11"/>
  <c r="K110" i="11" s="1"/>
  <c r="Q110" i="11" s="1"/>
  <c r="AM109" i="11"/>
  <c r="AT109" i="11" s="1"/>
  <c r="BA109" i="11" s="1"/>
  <c r="AL109" i="11"/>
  <c r="AS109" i="11" s="1"/>
  <c r="AZ109" i="11" s="1"/>
  <c r="AK109" i="11"/>
  <c r="AR109" i="11" s="1"/>
  <c r="AY109" i="11" s="1"/>
  <c r="AJ109" i="11"/>
  <c r="AQ109" i="11" s="1"/>
  <c r="AX109" i="11" s="1"/>
  <c r="AI109" i="11"/>
  <c r="AP109" i="11" s="1"/>
  <c r="AW109" i="11" s="1"/>
  <c r="AA109" i="11"/>
  <c r="AH109" i="11" s="1"/>
  <c r="AO109" i="11" s="1"/>
  <c r="AV109" i="11" s="1"/>
  <c r="F109" i="11"/>
  <c r="K109" i="11" s="1"/>
  <c r="Q109" i="11" s="1"/>
  <c r="F108" i="11"/>
  <c r="K108" i="11" s="1"/>
  <c r="Q108" i="11" s="1"/>
  <c r="F107" i="11"/>
  <c r="K107" i="11" s="1"/>
  <c r="Q107" i="11" s="1"/>
  <c r="AM106" i="11"/>
  <c r="AT106" i="11" s="1"/>
  <c r="BA106" i="11" s="1"/>
  <c r="AL106" i="11"/>
  <c r="AS106" i="11" s="1"/>
  <c r="AZ106" i="11" s="1"/>
  <c r="AK106" i="11"/>
  <c r="AR106" i="11" s="1"/>
  <c r="AY106" i="11" s="1"/>
  <c r="AJ106" i="11"/>
  <c r="AQ106" i="11" s="1"/>
  <c r="AX106" i="11" s="1"/>
  <c r="AI106" i="11"/>
  <c r="AP106" i="11" s="1"/>
  <c r="AW106" i="11" s="1"/>
  <c r="AA106" i="11"/>
  <c r="F106" i="11"/>
  <c r="K106" i="11" s="1"/>
  <c r="Q106" i="11" s="1"/>
  <c r="F105" i="11"/>
  <c r="K105" i="11" s="1"/>
  <c r="Q105" i="11" s="1"/>
  <c r="F104" i="11"/>
  <c r="K104" i="11" s="1"/>
  <c r="Q104" i="11" s="1"/>
  <c r="F103" i="11"/>
  <c r="K103" i="11" s="1"/>
  <c r="Q103" i="11" s="1"/>
  <c r="F102" i="11"/>
  <c r="K102" i="11" s="1"/>
  <c r="Q102" i="11" s="1"/>
  <c r="F101" i="11"/>
  <c r="K101" i="11" s="1"/>
  <c r="Q101" i="11" s="1"/>
  <c r="F100" i="11"/>
  <c r="K100" i="11" s="1"/>
  <c r="Q100" i="11" s="1"/>
  <c r="AM99" i="11"/>
  <c r="AT99" i="11" s="1"/>
  <c r="BA99" i="11" s="1"/>
  <c r="AL99" i="11"/>
  <c r="AS99" i="11" s="1"/>
  <c r="AZ99" i="11" s="1"/>
  <c r="AK99" i="11"/>
  <c r="AR99" i="11" s="1"/>
  <c r="AY99" i="11" s="1"/>
  <c r="AJ99" i="11"/>
  <c r="AQ99" i="11" s="1"/>
  <c r="AX99" i="11" s="1"/>
  <c r="AI99" i="11"/>
  <c r="AP99" i="11" s="1"/>
  <c r="AW99" i="11" s="1"/>
  <c r="AA99" i="11"/>
  <c r="AH99" i="11" s="1"/>
  <c r="AO99" i="11" s="1"/>
  <c r="F99" i="11"/>
  <c r="K99" i="11" s="1"/>
  <c r="Q99" i="11" s="1"/>
  <c r="F98" i="11"/>
  <c r="K98" i="11" s="1"/>
  <c r="Q98" i="11" s="1"/>
  <c r="F97" i="11"/>
  <c r="K97" i="11" s="1"/>
  <c r="Q97" i="11" s="1"/>
  <c r="F96" i="11"/>
  <c r="K96" i="11" s="1"/>
  <c r="Q96" i="11" s="1"/>
  <c r="AM95" i="11"/>
  <c r="AT95" i="11" s="1"/>
  <c r="BA95" i="11" s="1"/>
  <c r="AL95" i="11"/>
  <c r="AS95" i="11" s="1"/>
  <c r="AZ95" i="11" s="1"/>
  <c r="AK95" i="11"/>
  <c r="AR95" i="11" s="1"/>
  <c r="AY95" i="11" s="1"/>
  <c r="AJ95" i="11"/>
  <c r="AQ95" i="11" s="1"/>
  <c r="AX95" i="11" s="1"/>
  <c r="AI95" i="11"/>
  <c r="AP95" i="11" s="1"/>
  <c r="AW95" i="11" s="1"/>
  <c r="AA95" i="11"/>
  <c r="AH95" i="11" s="1"/>
  <c r="AO95" i="11" s="1"/>
  <c r="F95" i="11"/>
  <c r="K95" i="11" s="1"/>
  <c r="Q95" i="11" s="1"/>
  <c r="F94" i="11"/>
  <c r="K94" i="11" s="1"/>
  <c r="Q94" i="11" s="1"/>
  <c r="F93" i="11"/>
  <c r="K93" i="11" s="1"/>
  <c r="Q93" i="11" s="1"/>
  <c r="F92" i="11"/>
  <c r="K92" i="11" s="1"/>
  <c r="Q92" i="11" s="1"/>
  <c r="F91" i="11"/>
  <c r="K91" i="11" s="1"/>
  <c r="Q91" i="11" s="1"/>
  <c r="F90" i="11"/>
  <c r="K90" i="11" s="1"/>
  <c r="Q90" i="11" s="1"/>
  <c r="F89" i="11"/>
  <c r="K89" i="11" s="1"/>
  <c r="Q89" i="11" s="1"/>
  <c r="F88" i="11"/>
  <c r="K88" i="11" s="1"/>
  <c r="Q88" i="11" s="1"/>
  <c r="AL87" i="11"/>
  <c r="AS87" i="11" s="1"/>
  <c r="AZ87" i="11" s="1"/>
  <c r="AK87" i="11"/>
  <c r="AR87" i="11" s="1"/>
  <c r="AY87" i="11" s="1"/>
  <c r="AJ87" i="11"/>
  <c r="AQ87" i="11" s="1"/>
  <c r="AX87" i="11" s="1"/>
  <c r="AF87" i="11"/>
  <c r="AM87" i="11" s="1"/>
  <c r="AT87" i="11" s="1"/>
  <c r="BA87" i="11" s="1"/>
  <c r="AB87" i="11"/>
  <c r="AI87" i="11" s="1"/>
  <c r="AP87" i="11" s="1"/>
  <c r="AW87" i="11" s="1"/>
  <c r="AA87" i="11"/>
  <c r="AH87" i="11" s="1"/>
  <c r="AO87" i="11" s="1"/>
  <c r="F87" i="11"/>
  <c r="K87" i="11" s="1"/>
  <c r="Q87" i="11" s="1"/>
  <c r="F86" i="11"/>
  <c r="K86" i="11" s="1"/>
  <c r="Q86" i="11" s="1"/>
  <c r="F85" i="11"/>
  <c r="K85" i="11" s="1"/>
  <c r="Q85" i="11" s="1"/>
  <c r="F84" i="11"/>
  <c r="K84" i="11" s="1"/>
  <c r="Q84" i="11" s="1"/>
  <c r="F83" i="11"/>
  <c r="K83" i="11" s="1"/>
  <c r="Q83" i="11" s="1"/>
  <c r="AM82" i="11"/>
  <c r="AT82" i="11" s="1"/>
  <c r="BA82" i="11" s="1"/>
  <c r="AL82" i="11"/>
  <c r="AS82" i="11" s="1"/>
  <c r="AZ82" i="11" s="1"/>
  <c r="AK82" i="11"/>
  <c r="AR82" i="11" s="1"/>
  <c r="AY82" i="11" s="1"/>
  <c r="AJ82" i="11"/>
  <c r="AQ82" i="11" s="1"/>
  <c r="AX82" i="11" s="1"/>
  <c r="AI82" i="11"/>
  <c r="AP82" i="11" s="1"/>
  <c r="AW82" i="11" s="1"/>
  <c r="AA82" i="11"/>
  <c r="AG82" i="11" s="1"/>
  <c r="AN82" i="11" s="1"/>
  <c r="F82" i="11"/>
  <c r="K82" i="11" s="1"/>
  <c r="Q82" i="11" s="1"/>
  <c r="F81" i="11"/>
  <c r="K81" i="11" s="1"/>
  <c r="Q81" i="11" s="1"/>
  <c r="F80" i="11"/>
  <c r="K80" i="11" s="1"/>
  <c r="Q80" i="11" s="1"/>
  <c r="F79" i="11"/>
  <c r="K79" i="11" s="1"/>
  <c r="Q79" i="11" s="1"/>
  <c r="F78" i="11"/>
  <c r="K78" i="11" s="1"/>
  <c r="Q78" i="11" s="1"/>
  <c r="F77" i="11"/>
  <c r="K77" i="11" s="1"/>
  <c r="Q77" i="11" s="1"/>
  <c r="F76" i="11"/>
  <c r="K76" i="11" s="1"/>
  <c r="Q76" i="11" s="1"/>
  <c r="F75" i="11"/>
  <c r="K75" i="11" s="1"/>
  <c r="Q75" i="11" s="1"/>
  <c r="F74" i="11"/>
  <c r="K74" i="11" s="1"/>
  <c r="Q74" i="11" s="1"/>
  <c r="F73" i="11"/>
  <c r="K73" i="11" s="1"/>
  <c r="Q73" i="11" s="1"/>
  <c r="F72" i="11"/>
  <c r="K72" i="11" s="1"/>
  <c r="Q72" i="11" s="1"/>
  <c r="F71" i="11"/>
  <c r="K71" i="11" s="1"/>
  <c r="Q71" i="11" s="1"/>
  <c r="F70" i="11"/>
  <c r="K70" i="11" s="1"/>
  <c r="Q70" i="11" s="1"/>
  <c r="AL69" i="11"/>
  <c r="AS69" i="11" s="1"/>
  <c r="AZ69" i="11" s="1"/>
  <c r="AK69" i="11"/>
  <c r="AR69" i="11" s="1"/>
  <c r="AY69" i="11" s="1"/>
  <c r="AJ69" i="11"/>
  <c r="AQ69" i="11" s="1"/>
  <c r="AX69" i="11" s="1"/>
  <c r="AF69" i="11"/>
  <c r="AM69" i="11" s="1"/>
  <c r="AT69" i="11" s="1"/>
  <c r="BA69" i="11" s="1"/>
  <c r="AB69" i="11"/>
  <c r="AA69" i="11"/>
  <c r="AH69" i="11" s="1"/>
  <c r="AO69" i="11" s="1"/>
  <c r="F69" i="11"/>
  <c r="K69" i="11" s="1"/>
  <c r="Q69" i="11" s="1"/>
  <c r="F68" i="11"/>
  <c r="K68" i="11" s="1"/>
  <c r="Q68" i="11" s="1"/>
  <c r="F67" i="11"/>
  <c r="K67" i="11" s="1"/>
  <c r="Q67" i="11" s="1"/>
  <c r="F66" i="11"/>
  <c r="K66" i="11" s="1"/>
  <c r="Q66" i="11" s="1"/>
  <c r="F65" i="11"/>
  <c r="K65" i="11" s="1"/>
  <c r="Q65" i="11" s="1"/>
  <c r="F64" i="11"/>
  <c r="K64" i="11" s="1"/>
  <c r="Q64" i="11" s="1"/>
  <c r="F63" i="11"/>
  <c r="K63" i="11" s="1"/>
  <c r="Q63" i="11" s="1"/>
  <c r="DT62" i="11"/>
  <c r="F62" i="11"/>
  <c r="K62" i="11" s="1"/>
  <c r="Q62" i="11" s="1"/>
  <c r="DT61" i="11"/>
  <c r="F61" i="11"/>
  <c r="K61" i="11" s="1"/>
  <c r="Q61" i="11" s="1"/>
  <c r="DT60" i="11"/>
  <c r="F60" i="11"/>
  <c r="K60" i="11" s="1"/>
  <c r="Q60" i="11" s="1"/>
  <c r="DT59" i="11"/>
  <c r="F59" i="11"/>
  <c r="K59" i="11" s="1"/>
  <c r="Q59" i="11" s="1"/>
  <c r="DT58" i="11"/>
  <c r="F58" i="11"/>
  <c r="K58" i="11" s="1"/>
  <c r="Q58" i="11" s="1"/>
  <c r="DT57" i="11"/>
  <c r="F57" i="11"/>
  <c r="K57" i="11" s="1"/>
  <c r="Q57" i="11" s="1"/>
  <c r="DT56" i="11"/>
  <c r="F56" i="11"/>
  <c r="K56" i="11" s="1"/>
  <c r="Q56" i="11" s="1"/>
  <c r="DT55" i="11"/>
  <c r="F55" i="11"/>
  <c r="K55" i="11" s="1"/>
  <c r="Q55" i="11" s="1"/>
  <c r="DT54" i="11"/>
  <c r="F54" i="11"/>
  <c r="K54" i="11" s="1"/>
  <c r="Q54" i="11" s="1"/>
  <c r="DT53" i="11"/>
  <c r="AM53" i="11"/>
  <c r="AT53" i="11" s="1"/>
  <c r="BA53" i="11" s="1"/>
  <c r="AL53" i="11"/>
  <c r="AS53" i="11" s="1"/>
  <c r="AZ53" i="11" s="1"/>
  <c r="AJ53" i="11"/>
  <c r="AQ53" i="11" s="1"/>
  <c r="AX53" i="11" s="1"/>
  <c r="AB53" i="11"/>
  <c r="AA53" i="11"/>
  <c r="AH53" i="11" s="1"/>
  <c r="AO53" i="11" s="1"/>
  <c r="F53" i="11"/>
  <c r="K53" i="11" s="1"/>
  <c r="Q53" i="11" s="1"/>
  <c r="DT52" i="11"/>
  <c r="F52" i="11"/>
  <c r="K52" i="11" s="1"/>
  <c r="Q52" i="11" s="1"/>
  <c r="DT51" i="11"/>
  <c r="F51" i="11"/>
  <c r="K51" i="11" s="1"/>
  <c r="Q51" i="11" s="1"/>
  <c r="DT50" i="11"/>
  <c r="F50" i="11"/>
  <c r="K50" i="11" s="1"/>
  <c r="Q50" i="11" s="1"/>
  <c r="DT49" i="11"/>
  <c r="F49" i="11"/>
  <c r="K49" i="11" s="1"/>
  <c r="Q49" i="11" s="1"/>
  <c r="DT48" i="11"/>
  <c r="F48" i="11"/>
  <c r="K48" i="11" s="1"/>
  <c r="Q48" i="11" s="1"/>
  <c r="DT47" i="11"/>
  <c r="F47" i="11"/>
  <c r="K47" i="11" s="1"/>
  <c r="Q47" i="11" s="1"/>
  <c r="DT46" i="11"/>
  <c r="F46" i="11"/>
  <c r="K46" i="11" s="1"/>
  <c r="Q46" i="11" s="1"/>
  <c r="DT45" i="11"/>
  <c r="F45" i="11"/>
  <c r="K45" i="11" s="1"/>
  <c r="Q45" i="11" s="1"/>
  <c r="DT44" i="11"/>
  <c r="F44" i="11"/>
  <c r="K44" i="11" s="1"/>
  <c r="Q44" i="11" s="1"/>
  <c r="DT43" i="11"/>
  <c r="F43" i="11"/>
  <c r="K43" i="11" s="1"/>
  <c r="Q43" i="11" s="1"/>
  <c r="DT42" i="11"/>
  <c r="F42" i="11"/>
  <c r="K42" i="11" s="1"/>
  <c r="Q42" i="11" s="1"/>
  <c r="DT41" i="11"/>
  <c r="F41" i="11"/>
  <c r="K41" i="11" s="1"/>
  <c r="Q41" i="11" s="1"/>
  <c r="DT40" i="11"/>
  <c r="F40" i="11"/>
  <c r="K40" i="11" s="1"/>
  <c r="Q40" i="11" s="1"/>
  <c r="DT39" i="11"/>
  <c r="F39" i="11"/>
  <c r="K39" i="11" s="1"/>
  <c r="Q39" i="11" s="1"/>
  <c r="DT38" i="11"/>
  <c r="F38" i="11"/>
  <c r="K38" i="11" s="1"/>
  <c r="Q38" i="11" s="1"/>
  <c r="DT37" i="11"/>
  <c r="F37" i="11"/>
  <c r="K37" i="11" s="1"/>
  <c r="Q37" i="11" s="1"/>
  <c r="DT36" i="11"/>
  <c r="AL36" i="11"/>
  <c r="AS36" i="11" s="1"/>
  <c r="AZ36" i="11" s="1"/>
  <c r="AK36" i="11"/>
  <c r="AR36" i="11" s="1"/>
  <c r="AY36" i="11" s="1"/>
  <c r="AJ36" i="11"/>
  <c r="AQ36" i="11" s="1"/>
  <c r="AX36" i="11" s="1"/>
  <c r="AF36" i="11"/>
  <c r="AM36" i="11" s="1"/>
  <c r="AT36" i="11" s="1"/>
  <c r="BA36" i="11" s="1"/>
  <c r="AB36" i="11"/>
  <c r="AI36" i="11" s="1"/>
  <c r="AA36" i="11"/>
  <c r="AH36" i="11" s="1"/>
  <c r="AO36" i="11" s="1"/>
  <c r="AV36" i="11" s="1"/>
  <c r="F36" i="11"/>
  <c r="K36" i="11" s="1"/>
  <c r="Q36" i="11" s="1"/>
  <c r="DT35" i="11"/>
  <c r="F35" i="11"/>
  <c r="K35" i="11" s="1"/>
  <c r="Q35" i="11" s="1"/>
  <c r="DT34" i="11"/>
  <c r="F34" i="11"/>
  <c r="K34" i="11" s="1"/>
  <c r="Q34" i="11" s="1"/>
  <c r="DT33" i="11"/>
  <c r="F33" i="11"/>
  <c r="K33" i="11" s="1"/>
  <c r="Q33" i="11" s="1"/>
  <c r="DT32" i="11"/>
  <c r="F32" i="11"/>
  <c r="K32" i="11" s="1"/>
  <c r="Q32" i="11" s="1"/>
  <c r="DT31" i="11"/>
  <c r="F31" i="11"/>
  <c r="K31" i="11" s="1"/>
  <c r="Q31" i="11" s="1"/>
  <c r="DT30" i="11"/>
  <c r="F30" i="11"/>
  <c r="K30" i="11" s="1"/>
  <c r="Q30" i="11" s="1"/>
  <c r="DT29" i="11"/>
  <c r="F29" i="11"/>
  <c r="K29" i="11" s="1"/>
  <c r="Q29" i="11" s="1"/>
  <c r="DT28" i="11"/>
  <c r="F28" i="11"/>
  <c r="K28" i="11" s="1"/>
  <c r="Q28" i="11" s="1"/>
  <c r="DT27" i="11"/>
  <c r="F27" i="11"/>
  <c r="K27" i="11" s="1"/>
  <c r="Q27" i="11" s="1"/>
  <c r="DT26" i="11"/>
  <c r="F26" i="11"/>
  <c r="K26" i="11" s="1"/>
  <c r="Q26" i="11" s="1"/>
  <c r="DT25" i="11"/>
  <c r="F25" i="11"/>
  <c r="K25" i="11" s="1"/>
  <c r="Q25" i="11" s="1"/>
  <c r="DT24" i="11"/>
  <c r="F24" i="11"/>
  <c r="K24" i="11" s="1"/>
  <c r="Q24" i="11" s="1"/>
  <c r="DT23" i="11"/>
  <c r="F23" i="11"/>
  <c r="K23" i="11" s="1"/>
  <c r="Q23" i="11" s="1"/>
  <c r="DT22" i="11"/>
  <c r="F22" i="11"/>
  <c r="K22" i="11" s="1"/>
  <c r="Q22" i="11" s="1"/>
  <c r="DT21" i="11"/>
  <c r="F21" i="11"/>
  <c r="K21" i="11" s="1"/>
  <c r="Q21" i="11" s="1"/>
  <c r="DT20" i="11"/>
  <c r="F20" i="11"/>
  <c r="K20" i="11" s="1"/>
  <c r="Q20" i="11" s="1"/>
  <c r="DT19" i="11"/>
  <c r="F19" i="11"/>
  <c r="K19" i="11" s="1"/>
  <c r="Q19" i="11" s="1"/>
  <c r="DT18" i="11"/>
  <c r="F18" i="11"/>
  <c r="K18" i="11" s="1"/>
  <c r="Q18" i="11" s="1"/>
  <c r="DT17" i="11"/>
  <c r="F17" i="11"/>
  <c r="K17" i="11" s="1"/>
  <c r="Q17" i="11" s="1"/>
  <c r="DT16" i="11"/>
  <c r="F16" i="11"/>
  <c r="K16" i="11" s="1"/>
  <c r="Q16" i="11" s="1"/>
  <c r="DT15" i="11"/>
  <c r="F15" i="11"/>
  <c r="K15" i="11" s="1"/>
  <c r="Q15" i="11" s="1"/>
  <c r="DT14" i="11"/>
  <c r="F14" i="11"/>
  <c r="K14" i="11" s="1"/>
  <c r="Q14" i="11" s="1"/>
  <c r="DT13" i="11"/>
  <c r="F13" i="11"/>
  <c r="K13" i="11" s="1"/>
  <c r="Q13" i="11" s="1"/>
  <c r="DT12" i="11"/>
  <c r="F12" i="11"/>
  <c r="K12" i="11" s="1"/>
  <c r="Q12" i="11" s="1"/>
  <c r="DT11" i="11"/>
  <c r="F11" i="11"/>
  <c r="K11" i="11" s="1"/>
  <c r="Q11" i="11" s="1"/>
  <c r="DT10" i="11"/>
  <c r="F10" i="11"/>
  <c r="K10" i="11" s="1"/>
  <c r="Q10" i="11" s="1"/>
  <c r="AM9" i="11"/>
  <c r="AT9" i="11" s="1"/>
  <c r="BA9" i="11" s="1"/>
  <c r="AL9" i="11"/>
  <c r="AS9" i="11" s="1"/>
  <c r="AZ9" i="11" s="1"/>
  <c r="AK9" i="11"/>
  <c r="AR9" i="11" s="1"/>
  <c r="AY9" i="11" s="1"/>
  <c r="AJ9" i="11"/>
  <c r="AQ9" i="11" s="1"/>
  <c r="AX9" i="11" s="1"/>
  <c r="AB9" i="11"/>
  <c r="AI9" i="11" s="1"/>
  <c r="AP9" i="11" s="1"/>
  <c r="AW9" i="11" s="1"/>
  <c r="AA9" i="11"/>
  <c r="AH9" i="11" s="1"/>
  <c r="AO9" i="11" s="1"/>
  <c r="F9" i="11"/>
  <c r="K9" i="11" s="1"/>
  <c r="Q9" i="11" s="1"/>
  <c r="AG186" i="11" l="1"/>
  <c r="AH128" i="11"/>
  <c r="AO128" i="11" s="1"/>
  <c r="AG121" i="11"/>
  <c r="AU195" i="11"/>
  <c r="AG109" i="11"/>
  <c r="AN109" i="11" s="1"/>
  <c r="AN283" i="11"/>
  <c r="AU283" i="11" s="1"/>
  <c r="BC283" i="11" s="1"/>
  <c r="AV195" i="11"/>
  <c r="BB195" i="11" s="1"/>
  <c r="AG229" i="11"/>
  <c r="AG99" i="11"/>
  <c r="AN99" i="11" s="1"/>
  <c r="AG133" i="11"/>
  <c r="BB281" i="11"/>
  <c r="Y5" i="6"/>
  <c r="K6" i="6"/>
  <c r="L5" i="6"/>
  <c r="C6" i="6"/>
  <c r="C5" i="6"/>
  <c r="AH133" i="11"/>
  <c r="AO133" i="11" s="1"/>
  <c r="AU133" i="11" s="1"/>
  <c r="AH186" i="11"/>
  <c r="AO186" i="11" s="1"/>
  <c r="AU186" i="11" s="1"/>
  <c r="AN201" i="11"/>
  <c r="AG256" i="11"/>
  <c r="AG195" i="11"/>
  <c r="AU111" i="11"/>
  <c r="AV186" i="11"/>
  <c r="AN111" i="11"/>
  <c r="AI69" i="11"/>
  <c r="AP69" i="11" s="1"/>
  <c r="AW69" i="11" s="1"/>
  <c r="AG69" i="11"/>
  <c r="AN69" i="11" s="1"/>
  <c r="AU9" i="11"/>
  <c r="AV9" i="11"/>
  <c r="BB9" i="11" s="1"/>
  <c r="AV95" i="11"/>
  <c r="BB95" i="11" s="1"/>
  <c r="AU95" i="11"/>
  <c r="AI53" i="11"/>
  <c r="AP53" i="11" s="1"/>
  <c r="AW53" i="11" s="1"/>
  <c r="AG53" i="11"/>
  <c r="AN53" i="11" s="1"/>
  <c r="AO121" i="11"/>
  <c r="AN121" i="11"/>
  <c r="AV275" i="11"/>
  <c r="BB275" i="11" s="1"/>
  <c r="AU275" i="11"/>
  <c r="AV53" i="11"/>
  <c r="BB109" i="11"/>
  <c r="AO230" i="11"/>
  <c r="AU230" i="11" s="1"/>
  <c r="AN230" i="11"/>
  <c r="AP36" i="11"/>
  <c r="AN36" i="11"/>
  <c r="AV87" i="11"/>
  <c r="BB87" i="11" s="1"/>
  <c r="AU87" i="11"/>
  <c r="AG36" i="11"/>
  <c r="AV69" i="11"/>
  <c r="AH82" i="11"/>
  <c r="AO82" i="11" s="1"/>
  <c r="AU109" i="11"/>
  <c r="AV111" i="11"/>
  <c r="BB111" i="11" s="1"/>
  <c r="AN128" i="11"/>
  <c r="AN221" i="11"/>
  <c r="AW218" i="11"/>
  <c r="BB218" i="11" s="1"/>
  <c r="AU218" i="11"/>
  <c r="AG230" i="11"/>
  <c r="AN281" i="11"/>
  <c r="AU281" i="11" s="1"/>
  <c r="AH182" i="11"/>
  <c r="AG182" i="11"/>
  <c r="AU229" i="11"/>
  <c r="AH106" i="11"/>
  <c r="AO106" i="11" s="1"/>
  <c r="AG106" i="11"/>
  <c r="AN106" i="11" s="1"/>
  <c r="AH125" i="11"/>
  <c r="AG125" i="11"/>
  <c r="AW201" i="11"/>
  <c r="BB201" i="11" s="1"/>
  <c r="AU201" i="11"/>
  <c r="AW221" i="11"/>
  <c r="BB221" i="11" s="1"/>
  <c r="AU221" i="11"/>
  <c r="AG95" i="11"/>
  <c r="AN95" i="11" s="1"/>
  <c r="AP211" i="11"/>
  <c r="AN211" i="11"/>
  <c r="AG281" i="11"/>
  <c r="AG9" i="11"/>
  <c r="AN9" i="11" s="1"/>
  <c r="AG87" i="11"/>
  <c r="AN87" i="11" s="1"/>
  <c r="AV139" i="11"/>
  <c r="BB139" i="11" s="1"/>
  <c r="AU139" i="11"/>
  <c r="AN275" i="11"/>
  <c r="AG148" i="11"/>
  <c r="AH148" i="11"/>
  <c r="AH169" i="11"/>
  <c r="AG169" i="11"/>
  <c r="AV99" i="11"/>
  <c r="BB99" i="11" s="1"/>
  <c r="AU99" i="11"/>
  <c r="BB229" i="11"/>
  <c r="AN139" i="11"/>
  <c r="AN186" i="11"/>
  <c r="AN218" i="11"/>
  <c r="BB230" i="11"/>
  <c r="AG275" i="11"/>
  <c r="AY186" i="11"/>
  <c r="AN195" i="11"/>
  <c r="AP206" i="11"/>
  <c r="AN206" i="11"/>
  <c r="AO256" i="11"/>
  <c r="AV256" i="11" s="1"/>
  <c r="AN229" i="11"/>
  <c r="AM256" i="11"/>
  <c r="AT256" i="11" s="1"/>
  <c r="BA256" i="11" s="1"/>
  <c r="AV133" i="11" l="1"/>
  <c r="BB133" i="11" s="1"/>
  <c r="BB186" i="11"/>
  <c r="AN133" i="11"/>
  <c r="BC133" i="11" s="1"/>
  <c r="BC87" i="11"/>
  <c r="BC9" i="11"/>
  <c r="BC201" i="11"/>
  <c r="BC111" i="11"/>
  <c r="BC281" i="11"/>
  <c r="BC139" i="11"/>
  <c r="BC229" i="11"/>
  <c r="BC186" i="11"/>
  <c r="AW206" i="11"/>
  <c r="BB206" i="11" s="1"/>
  <c r="AU206" i="11"/>
  <c r="AO125" i="11"/>
  <c r="AN125" i="11"/>
  <c r="BC275" i="11"/>
  <c r="AU211" i="11"/>
  <c r="AW211" i="11"/>
  <c r="BB211" i="11" s="1"/>
  <c r="AU106" i="11"/>
  <c r="AV106" i="11"/>
  <c r="BB106" i="11" s="1"/>
  <c r="BB69" i="11"/>
  <c r="BC99" i="11"/>
  <c r="BC218" i="11"/>
  <c r="BC95" i="11"/>
  <c r="BC230" i="11"/>
  <c r="BC221" i="11"/>
  <c r="BC109" i="11"/>
  <c r="AU121" i="11"/>
  <c r="AV121" i="11"/>
  <c r="BB121" i="11" s="1"/>
  <c r="AN256" i="11"/>
  <c r="AU256" i="11" s="1"/>
  <c r="AO169" i="11"/>
  <c r="AN169" i="11"/>
  <c r="AU53" i="11"/>
  <c r="AW36" i="11"/>
  <c r="BB36" i="11" s="1"/>
  <c r="AU36" i="11"/>
  <c r="AV82" i="11"/>
  <c r="BB82" i="11" s="1"/>
  <c r="AU82" i="11"/>
  <c r="BB256" i="11"/>
  <c r="BC256" i="11" s="1"/>
  <c r="BC195" i="11"/>
  <c r="AO148" i="11"/>
  <c r="AN148" i="11"/>
  <c r="AV128" i="11"/>
  <c r="BB128" i="11" s="1"/>
  <c r="AU128" i="11"/>
  <c r="BB53" i="11"/>
  <c r="AU69" i="11"/>
  <c r="AO182" i="11"/>
  <c r="AN182" i="11"/>
  <c r="BC211" i="11" l="1"/>
  <c r="BC206" i="11"/>
  <c r="BC36" i="11"/>
  <c r="BC121" i="11"/>
  <c r="BC128" i="11"/>
  <c r="AV182" i="11"/>
  <c r="BB182" i="11" s="1"/>
  <c r="AU182" i="11"/>
  <c r="AV125" i="11"/>
  <c r="BB125" i="11" s="1"/>
  <c r="AU125" i="11"/>
  <c r="BC53" i="11"/>
  <c r="BC82" i="11"/>
  <c r="BC69" i="11"/>
  <c r="AU148" i="11"/>
  <c r="AV148" i="11"/>
  <c r="BB148" i="11" s="1"/>
  <c r="AU169" i="11"/>
  <c r="AV169" i="11"/>
  <c r="BB169" i="11" s="1"/>
  <c r="BC169" i="11" s="1"/>
  <c r="BC106" i="11"/>
  <c r="BC125" i="11" l="1"/>
  <c r="BC182" i="11"/>
  <c r="BC148" i="11"/>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U36" i="6"/>
  <c r="AR36" i="6"/>
  <c r="AU35" i="6"/>
  <c r="AR35" i="6"/>
  <c r="AU34" i="6"/>
  <c r="AR34" i="6"/>
  <c r="AU33" i="6"/>
  <c r="AR33" i="6"/>
  <c r="AU32" i="6"/>
  <c r="AR32" i="6"/>
  <c r="AU31" i="6"/>
  <c r="AR31" i="6"/>
  <c r="AU156" i="6" l="1"/>
  <c r="AR156" i="6"/>
  <c r="AK84" i="6"/>
  <c r="AU93" i="6"/>
  <c r="AK147" i="6"/>
  <c r="AK129" i="6"/>
  <c r="AU75" i="6"/>
  <c r="AK66" i="6"/>
  <c r="AR93" i="6"/>
  <c r="AU57" i="6"/>
  <c r="AU120" i="6"/>
  <c r="AK174" i="6"/>
  <c r="AK102" i="6"/>
  <c r="AK93" i="6"/>
  <c r="AK156" i="6"/>
  <c r="AK192" i="6"/>
  <c r="AU183" i="6"/>
  <c r="AK39" i="6"/>
  <c r="AU174" i="6"/>
  <c r="AU39" i="6"/>
  <c r="AU102" i="6"/>
  <c r="AU138" i="6"/>
  <c r="AR165" i="6"/>
  <c r="AK75" i="6"/>
  <c r="AR75" i="6"/>
  <c r="AU84" i="6"/>
  <c r="AK138" i="6"/>
  <c r="AR138" i="6"/>
  <c r="AU147" i="6"/>
  <c r="AK57" i="6"/>
  <c r="AR57" i="6"/>
  <c r="AU66" i="6"/>
  <c r="AK120" i="6"/>
  <c r="AR120" i="6"/>
  <c r="AU129" i="6"/>
  <c r="AR48" i="6"/>
  <c r="AR111" i="6"/>
  <c r="AK183" i="6"/>
  <c r="AR183" i="6"/>
  <c r="AU192" i="6"/>
  <c r="AR39" i="6"/>
  <c r="AR66" i="6"/>
  <c r="AR84" i="6"/>
  <c r="AR102" i="6"/>
  <c r="AR129" i="6"/>
  <c r="AR147" i="6"/>
  <c r="AR174" i="6"/>
  <c r="AR192" i="6"/>
  <c r="AU48" i="6"/>
  <c r="AU111" i="6"/>
  <c r="AU165" i="6"/>
  <c r="AK165" i="6"/>
  <c r="AK111" i="6"/>
  <c r="AK48" i="6"/>
  <c r="J7" i="6" l="1"/>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31" i="6"/>
  <c r="B40" i="6"/>
  <c r="B22" i="6"/>
  <c r="C13" i="6"/>
  <c r="B13" i="6"/>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AU9" i="6" l="1"/>
  <c r="Z30" i="6" l="1"/>
  <c r="T21" i="6"/>
  <c r="AD21" i="6" l="1"/>
  <c r="T12" i="6"/>
  <c r="AD30" i="6"/>
  <c r="Z12" i="6"/>
  <c r="T30" i="6"/>
  <c r="X21" i="6"/>
  <c r="AB12" i="6"/>
  <c r="V30" i="6"/>
  <c r="X12" i="6"/>
  <c r="AD12" i="6"/>
  <c r="V21" i="6"/>
  <c r="Z21" i="6"/>
  <c r="X30" i="6"/>
  <c r="AB30" i="6"/>
  <c r="V12" i="6"/>
  <c r="AB21" i="6"/>
  <c r="T9" i="6" l="1"/>
  <c r="AD9" i="6"/>
  <c r="AB9" i="6"/>
  <c r="R30" i="6"/>
  <c r="AJ31" i="6"/>
  <c r="AJ30" i="6" s="1"/>
  <c r="R21" i="6"/>
  <c r="AJ22" i="6"/>
  <c r="AJ21" i="6" s="1"/>
  <c r="Z9" i="6"/>
  <c r="R12" i="6"/>
  <c r="AJ13" i="6"/>
  <c r="AJ12" i="6" s="1"/>
  <c r="V9" i="6"/>
  <c r="X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<sst xmlns="http://schemas.openxmlformats.org/spreadsheetml/2006/main" count="10544" uniqueCount="1963">
  <si>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</si>
  <si>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</si>
  <si>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</si>
  <si>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</si>
  <si>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</si>
  <si>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</si>
  <si>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</si>
  <si>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</si>
  <si>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</si>
  <si>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</si>
  <si>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</si>
  <si>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</si>
  <si>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</si>
  <si>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</si>
  <si>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</si>
  <si>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</si>
  <si>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</si>
  <si>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</si>
  <si>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</si>
  <si>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</si>
  <si>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</si>
  <si>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</si>
  <si>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</si>
  <si>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</si>
  <si>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</si>
  <si>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</si>
  <si>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</si>
  <si>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</si>
  <si>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</si>
  <si>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</si>
  <si>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</si>
  <si>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</si>
  <si>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</si>
  <si>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</si>
  <si>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</si>
  <si>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</si>
  <si>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</si>
  <si>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</si>
  <si>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</si>
  <si>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</si>
  <si>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</si>
  <si>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</si>
  <si>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</si>
  <si>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</si>
  <si>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</si>
  <si>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</si>
  <si>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</si>
  <si>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</si>
  <si>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</si>
  <si>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</si>
  <si>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</si>
  <si>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</si>
  <si>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</si>
  <si>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</si>
  <si>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</si>
  <si>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</si>
  <si>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</si>
  <si>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</si>
  <si>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</si>
  <si>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</si>
  <si>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</si>
  <si>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</si>
  <si>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</si>
  <si>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</si>
  <si>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</si>
  <si>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</si>
  <si>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</si>
  <si>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</si>
  <si>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</si>
  <si>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</si>
  <si>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</si>
  <si>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</si>
  <si>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</si>
  <si>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</si>
  <si>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</si>
  <si>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</si>
  <si>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</si>
  <si>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</si>
  <si>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</si>
  <si>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</si>
  <si>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</si>
  <si>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</si>
  <si>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</si>
  <si>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</si>
  <si>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</si>
  <si>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</si>
  <si>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</si>
  <si>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</si>
  <si>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</si>
  <si>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</si>
  <si>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</si>
  <si>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</si>
  <si>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</si>
  <si>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</si>
  <si>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</si>
  <si>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</si>
  <si>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</si>
  <si>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</si>
  <si>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</si>
  <si>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</si>
  <si>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</si>
  <si>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</si>
  <si>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</si>
  <si>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</si>
  <si>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</si>
  <si>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</si>
  <si>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</si>
  <si>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</si>
  <si>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</si>
  <si>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</si>
  <si>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</si>
  <si>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</si>
  <si>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</si>
  <si>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</si>
  <si>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</si>
  <si>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</si>
  <si>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</si>
  <si>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</si>
  <si>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</si>
  <si>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</si>
  <si>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</si>
  <si>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</si>
  <si>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</si>
  <si>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</si>
  <si>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</si>
  <si>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</si>
  <si>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</si>
  <si>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</si>
  <si>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</si>
  <si>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</si>
  <si>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</si>
  <si>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</si>
  <si>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</si>
  <si>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</si>
  <si>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</si>
  <si>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</si>
  <si>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</si>
  <si>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</si>
  <si>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</si>
  <si>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</si>
  <si>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</si>
  <si>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</si>
  <si>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</si>
  <si>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</si>
  <si>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</si>
  <si>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</si>
  <si>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</si>
  <si>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</si>
  <si>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</si>
  <si>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</si>
  <si>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</si>
  <si>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</si>
  <si>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</si>
  <si>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</si>
  <si>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</si>
  <si>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</si>
  <si>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</si>
  <si>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</si>
  <si>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</si>
  <si>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</si>
  <si>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</si>
  <si>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</si>
  <si>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</si>
  <si>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</si>
  <si>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</si>
  <si>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</si>
  <si>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</si>
  <si>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</si>
  <si>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</si>
  <si>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</si>
  <si>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</si>
  <si>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</si>
  <si>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</si>
  <si>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</si>
  <si>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</si>
  <si>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</si>
  <si>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</si>
  <si>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</si>
  <si>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</si>
  <si>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</si>
  <si>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</si>
  <si>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</si>
  <si>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</si>
  <si>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</si>
  <si>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</si>
  <si>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</si>
  <si>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</si>
  <si>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</si>
  <si>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</si>
  <si>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</si>
  <si>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</si>
  <si>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</si>
  <si>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</si>
  <si>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</si>
  <si>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</si>
  <si>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</si>
  <si>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</si>
  <si>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</si>
  <si>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</si>
  <si>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</si>
  <si>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</si>
  <si>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</si>
  <si>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</si>
  <si>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</si>
  <si>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</si>
  <si>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</si>
  <si>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</si>
  <si>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</si>
  <si>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</si>
  <si>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</si>
  <si>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</si>
  <si>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</si>
  <si>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</si>
  <si>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</si>
  <si>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</si>
  <si>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</si>
  <si>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</si>
  <si>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</si>
  <si>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</si>
  <si>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</si>
  <si>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</si>
  <si>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</si>
  <si>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</si>
  <si>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</si>
  <si>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</si>
  <si>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</si>
  <si>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</si>
  <si>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</si>
  <si>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</si>
  <si>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</si>
  <si>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</si>
  <si>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</si>
  <si>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</si>
  <si>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</si>
  <si>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</si>
  <si>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</si>
  <si>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</si>
  <si>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</si>
  <si>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</si>
  <si>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</si>
  <si>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</si>
  <si>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</si>
  <si>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</si>
  <si>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</si>
  <si>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</si>
  <si>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</si>
  <si>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</si>
  <si>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</si>
  <si>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</si>
  <si>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</si>
  <si>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</si>
  <si>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</si>
  <si>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</si>
  <si>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</si>
  <si>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</si>
  <si>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</si>
  <si>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</si>
  <si>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</si>
  <si>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</si>
  <si>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</si>
  <si>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</si>
  <si>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</si>
  <si>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</si>
  <si>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</si>
  <si>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</si>
  <si>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</si>
  <si>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</si>
  <si>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</si>
  <si>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</si>
  <si>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</si>
  <si>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</si>
  <si>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</si>
  <si>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</si>
  <si>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</si>
  <si>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</si>
  <si>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</si>
  <si>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</si>
  <si>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</si>
  <si>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</si>
  <si>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</si>
  <si>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</si>
  <si>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</si>
  <si>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</si>
  <si>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</si>
  <si>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</si>
  <si>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</si>
  <si>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</si>
  <si>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</si>
  <si>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</si>
  <si>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</si>
  <si>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</si>
  <si>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</si>
  <si>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</si>
  <si>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</si>
  <si>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</si>
  <si>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</si>
  <si>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</si>
  <si>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</si>
  <si>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</si>
  <si>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</si>
  <si>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</si>
  <si>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</si>
  <si>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</si>
  <si>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</si>
  <si>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</si>
  <si>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</si>
  <si>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</si>
  <si>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</si>
  <si>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</si>
  <si>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</si>
  <si>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</si>
  <si>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</si>
  <si>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</si>
  <si>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</si>
  <si>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</si>
  <si>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</si>
  <si>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</si>
  <si>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</si>
  <si>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</si>
  <si>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</si>
  <si>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</si>
  <si>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</si>
  <si>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</si>
  <si>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</si>
  <si>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</si>
  <si>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</si>
  <si>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</si>
  <si>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</si>
  <si>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</si>
  <si>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</si>
  <si>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</si>
  <si>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</si>
  <si>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</si>
  <si>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</si>
  <si>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</si>
  <si>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</si>
  <si>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</si>
  <si>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</si>
  <si>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</si>
  <si>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</si>
  <si>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</si>
  <si>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</si>
  <si>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</si>
  <si>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</si>
  <si>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</si>
  <si>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</si>
  <si>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</si>
  <si>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</si>
  <si>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</si>
  <si>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</si>
  <si>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</si>
  <si>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</si>
  <si>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</si>
  <si>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</si>
  <si>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</si>
  <si>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</si>
  <si>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</si>
  <si>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</si>
  <si>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</si>
  <si>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</si>
  <si>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</si>
  <si>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</si>
  <si>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</si>
  <si>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</si>
  <si>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</si>
  <si>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</si>
  <si>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</si>
  <si>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</si>
  <si>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</si>
  <si>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</si>
  <si>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</si>
  <si>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</si>
  <si>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</si>
  <si>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</si>
  <si>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</si>
  <si>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</si>
  <si>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</si>
  <si>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</si>
  <si>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</si>
  <si>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</si>
  <si>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</si>
  <si>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</si>
  <si>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</si>
  <si>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</si>
  <si>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</si>
  <si>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</si>
  <si>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</si>
  <si>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</si>
  <si>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</si>
  <si>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</si>
  <si>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</si>
  <si>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</si>
  <si>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</si>
  <si>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</si>
  <si>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</si>
  <si>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</si>
  <si>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</si>
  <si>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</si>
  <si>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</si>
  <si>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</si>
  <si>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</si>
  <si>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</si>
  <si>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</si>
  <si>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</si>
  <si>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</si>
  <si>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</si>
  <si>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</si>
  <si>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</si>
  <si>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</si>
  <si>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</si>
  <si>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</si>
  <si>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</si>
  <si>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</si>
  <si>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</si>
  <si>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</si>
  <si>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</si>
  <si>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</si>
  <si>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</si>
  <si>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</si>
  <si>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</si>
  <si>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</si>
  <si>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</si>
  <si>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</si>
  <si>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</si>
  <si>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</si>
  <si>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</si>
  <si>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</si>
  <si>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</si>
  <si>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</si>
  <si>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</si>
  <si>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</si>
  <si>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</si>
  <si>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</si>
  <si>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</si>
  <si>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</si>
  <si>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</si>
  <si>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</si>
  <si>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</si>
  <si>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</si>
  <si>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</si>
  <si>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</si>
  <si>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</si>
  <si>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</si>
  <si>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</si>
  <si>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</si>
  <si>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</si>
  <si>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</si>
  <si>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</si>
  <si>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</si>
  <si>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</si>
  <si>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</si>
  <si>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</si>
  <si>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</si>
  <si>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</si>
  <si>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</si>
  <si>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</si>
  <si>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</si>
  <si>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</si>
  <si>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</si>
  <si>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</si>
  <si>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</si>
  <si>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</si>
  <si>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</si>
  <si>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</si>
  <si>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</si>
  <si>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</si>
  <si>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</si>
  <si>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</si>
  <si>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</si>
  <si>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</si>
  <si>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</si>
  <si>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</si>
  <si>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</si>
  <si>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</si>
  <si>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</si>
  <si>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</si>
  <si>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</si>
  <si>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</si>
  <si>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</si>
  <si>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</si>
  <si>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</si>
  <si>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</si>
  <si>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</si>
  <si>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</si>
  <si>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</si>
  <si>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</si>
  <si>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</si>
  <si>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</si>
  <si>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</si>
  <si>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</si>
  <si>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</si>
  <si>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</si>
  <si>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</si>
  <si>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</si>
  <si>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</si>
  <si>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</si>
  <si>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</si>
  <si>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</si>
  <si>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</si>
  <si>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</si>
  <si>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</si>
  <si>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</si>
  <si>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</si>
  <si>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</si>
  <si>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</si>
  <si>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</si>
  <si>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</si>
  <si>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</si>
  <si>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</si>
  <si>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</si>
  <si>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</si>
  <si>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</si>
  <si>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</si>
  <si>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</si>
  <si>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</si>
  <si>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</si>
  <si>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</si>
  <si>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</si>
  <si>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</si>
  <si>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</si>
  <si>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</si>
  <si>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</si>
  <si>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</si>
  <si>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</si>
  <si>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</si>
  <si>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</si>
  <si>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</si>
  <si>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</si>
  <si>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</si>
  <si>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</si>
  <si>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</si>
  <si>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</si>
  <si>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</si>
  <si>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</si>
  <si>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</si>
  <si>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</si>
  <si>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</si>
  <si>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</si>
  <si>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</si>
  <si>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</si>
  <si>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</si>
  <si>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</si>
  <si>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</si>
  <si>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</si>
  <si>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</si>
  <si>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</si>
  <si>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</si>
  <si>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</si>
  <si>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</si>
  <si>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</si>
  <si>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</si>
  <si>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</si>
  <si>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</si>
  <si>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</si>
  <si>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</si>
  <si>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</si>
  <si>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</si>
  <si>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</si>
  <si>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</si>
  <si>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</si>
  <si>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</si>
  <si>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</si>
  <si>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</si>
  <si>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</si>
  <si>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</si>
  <si>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</si>
  <si>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</si>
  <si>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</si>
  <si>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</si>
  <si>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</si>
  <si>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</si>
  <si>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</si>
  <si>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</si>
  <si>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</si>
  <si>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</si>
  <si>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</si>
  <si>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</si>
  <si>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</si>
  <si>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</si>
  <si>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</si>
  <si>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</si>
  <si>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</si>
  <si>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</si>
  <si>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</si>
  <si>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</si>
  <si>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</si>
  <si>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</si>
  <si>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</si>
  <si>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</si>
  <si>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</si>
  <si>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</si>
  <si>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</si>
  <si>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</si>
  <si>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</si>
  <si>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</si>
  <si>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</si>
  <si>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</si>
  <si>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</si>
  <si>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</si>
  <si>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</si>
  <si>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</si>
  <si>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</si>
  <si>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</si>
  <si>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</si>
  <si>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</si>
  <si>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</si>
  <si>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</si>
  <si>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</si>
  <si>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</si>
  <si>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</si>
  <si>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</si>
  <si>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</si>
  <si>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</si>
  <si>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</si>
  <si>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</si>
  <si>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</si>
  <si>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</si>
  <si>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</si>
  <si>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</si>
  <si>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</si>
  <si>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</si>
  <si>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</si>
  <si>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</si>
  <si>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</si>
  <si>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</si>
  <si>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</si>
  <si>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</si>
  <si>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</si>
  <si>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</si>
  <si>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</si>
  <si>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</si>
  <si>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</si>
  <si>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</si>
  <si>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</si>
  <si>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</si>
  <si>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</si>
  <si>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</si>
  <si>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</si>
  <si>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</si>
  <si>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</si>
  <si>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</si>
  <si>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</si>
  <si>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</si>
  <si>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</si>
  <si>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</si>
  <si>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</si>
  <si>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</si>
  <si>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</si>
  <si>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</si>
  <si>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</si>
  <si>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</si>
  <si>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</si>
  <si>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</si>
  <si>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</si>
  <si>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</si>
  <si>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</si>
  <si>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</si>
  <si>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</si>
  <si>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</si>
  <si>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</si>
  <si>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</si>
  <si>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</si>
  <si>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</si>
  <si>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</si>
  <si>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</si>
  <si>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</si>
  <si>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</si>
  <si>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</si>
  <si>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</si>
  <si>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</si>
  <si>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</si>
  <si>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</si>
  <si>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</si>
  <si>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</si>
  <si>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</si>
  <si>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</si>
  <si>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</si>
  <si>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</si>
  <si>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</si>
  <si>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</si>
  <si>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</si>
  <si>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</si>
  <si>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</si>
  <si>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</si>
  <si>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</si>
  <si>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</si>
  <si>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</si>
  <si>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</si>
  <si>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</si>
  <si>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</si>
  <si>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</si>
  <si>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</si>
  <si>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</si>
  <si>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</si>
  <si>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</si>
  <si>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</si>
  <si>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</si>
  <si>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</si>
  <si>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</si>
  <si>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</si>
  <si>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</si>
  <si>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</si>
  <si>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</si>
  <si>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</si>
  <si>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</si>
  <si>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</si>
  <si>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</si>
  <si>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</si>
  <si>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</si>
  <si>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</si>
  <si>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</si>
  <si>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</si>
  <si>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</si>
  <si>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</si>
  <si>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</si>
  <si>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</si>
  <si>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</si>
  <si>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</si>
  <si>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</si>
  <si>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</si>
  <si>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</si>
  <si>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</si>
  <si>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</si>
  <si>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</si>
  <si>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</si>
  <si>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</si>
  <si>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</si>
  <si>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</si>
  <si>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</si>
  <si>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</si>
  <si>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</si>
  <si>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</si>
  <si>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</si>
  <si>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</si>
  <si>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</si>
  <si>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</si>
  <si>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</si>
  <si>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</si>
  <si>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</si>
  <si>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</si>
  <si>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</si>
  <si>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</si>
  <si>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</si>
  <si>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</si>
  <si>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</si>
  <si>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</si>
  <si>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</si>
  <si>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</si>
  <si>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</si>
  <si>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</si>
  <si>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</si>
  <si>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</si>
  <si>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</si>
  <si>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</si>
  <si>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</si>
  <si>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</si>
  <si>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</si>
  <si>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</si>
  <si>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</si>
  <si>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</si>
  <si>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</si>
  <si>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</si>
  <si>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</si>
  <si>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</si>
  <si>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</si>
  <si>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</si>
  <si>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</si>
  <si>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</si>
  <si>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</si>
  <si>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</si>
  <si>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</si>
  <si>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</si>
  <si>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</si>
  <si>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</si>
  <si>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</si>
  <si>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</si>
  <si>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</si>
  <si>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</si>
  <si>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</si>
  <si>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</si>
  <si>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</si>
  <si>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</si>
  <si>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</si>
  <si>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</si>
  <si>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</si>
  <si>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</si>
  <si>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</si>
  <si>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</si>
  <si>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</si>
  <si>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</si>
  <si>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</si>
  <si>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</si>
  <si>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</si>
  <si>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</si>
  <si>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</si>
  <si>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</si>
  <si>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</si>
  <si>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</si>
  <si>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</si>
  <si>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</si>
  <si>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</si>
  <si>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</si>
  <si>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</si>
  <si>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</si>
  <si>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</si>
  <si>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</si>
  <si>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</si>
  <si>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</si>
  <si>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</si>
  <si>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</si>
  <si>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</si>
  <si>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</si>
  <si>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</si>
  <si>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</si>
  <si>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</si>
  <si>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</si>
  <si>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</si>
  <si>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</si>
  <si>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</si>
  <si>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</si>
  <si>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</si>
  <si>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</si>
  <si>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</si>
  <si>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</si>
  <si>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</si>
  <si>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</si>
  <si>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</si>
  <si>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</si>
  <si>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</si>
  <si>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</si>
  <si>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</si>
  <si>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</si>
  <si>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</si>
  <si>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</si>
  <si>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</si>
  <si>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</si>
  <si>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</si>
  <si>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</si>
  <si>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</si>
  <si>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</si>
  <si>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</si>
  <si>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</si>
  <si>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</si>
  <si>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</si>
  <si>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</si>
  <si>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</si>
  <si>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</si>
  <si>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</si>
  <si>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</si>
  <si>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</si>
  <si>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</si>
  <si>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</si>
  <si>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</si>
  <si>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</si>
  <si>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</si>
  <si>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</si>
  <si>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</si>
  <si>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</si>
  <si>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</si>
  <si>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</si>
  <si>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</si>
  <si>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</si>
  <si>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</si>
  <si>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</si>
  <si>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</si>
  <si>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</si>
  <si>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</si>
  <si>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</si>
  <si>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</si>
  <si>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</si>
  <si>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</si>
  <si>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</si>
  <si>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</si>
  <si>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</si>
  <si>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</si>
  <si>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</si>
  <si>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</si>
  <si>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</si>
  <si>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</si>
  <si>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</si>
  <si>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</si>
  <si>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</si>
  <si>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</si>
  <si>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</si>
  <si>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</si>
  <si>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</si>
  <si>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</si>
  <si>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</si>
  <si>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</si>
  <si>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</si>
  <si>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</si>
  <si>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</si>
  <si>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</si>
  <si>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</si>
  <si>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</si>
  <si>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</si>
  <si>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</si>
  <si>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</si>
  <si>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</si>
  <si>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</si>
  <si>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</si>
  <si>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</si>
  <si>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</si>
  <si>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</si>
  <si>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</si>
  <si>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</si>
  <si>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</si>
  <si>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</si>
  <si>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</si>
  <si>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</si>
  <si>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</si>
  <si>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</si>
  <si>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</si>
  <si>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</si>
  <si>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</si>
  <si>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</si>
  <si>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</si>
  <si>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</si>
  <si>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</si>
  <si>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</si>
  <si>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</si>
  <si>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</si>
  <si>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</si>
  <si>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</si>
  <si>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</si>
  <si>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</si>
  <si>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</si>
  <si>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</si>
  <si>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</si>
  <si>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</si>
  <si>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</si>
  <si>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</si>
  <si>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</si>
  <si>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</si>
  <si>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</si>
  <si>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</si>
  <si>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</si>
  <si>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</si>
  <si>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</si>
  <si>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</si>
  <si>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</si>
  <si>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</si>
  <si>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</si>
  <si>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</si>
  <si>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</si>
  <si>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</si>
  <si>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</si>
  <si>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</si>
  <si>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</si>
  <si>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</si>
  <si>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</si>
  <si>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</si>
  <si>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</si>
  <si>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</si>
  <si>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</si>
  <si>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</si>
  <si>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</si>
  <si>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</si>
  <si>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</si>
  <si>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</si>
  <si>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</si>
  <si>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</si>
  <si>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</si>
  <si>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</si>
  <si>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</si>
  <si>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</si>
  <si>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</si>
  <si>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</si>
  <si>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</si>
  <si>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</si>
  <si>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</si>
  <si>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</si>
  <si>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</si>
  <si>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</si>
  <si>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</si>
  <si>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</si>
  <si>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</si>
  <si>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</si>
  <si>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</si>
  <si>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</si>
  <si>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</si>
  <si>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</si>
  <si>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</si>
  <si>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</si>
  <si>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</si>
  <si>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</si>
  <si>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</si>
  <si>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</si>
  <si>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</si>
  <si>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</si>
  <si>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</si>
  <si>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</si>
  <si>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</si>
  <si>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</si>
  <si>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</si>
  <si>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</si>
  <si>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</si>
  <si>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</si>
  <si>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</si>
  <si>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</si>
  <si>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</si>
  <si>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</si>
  <si>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</si>
  <si>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</si>
  <si>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</si>
  <si>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</si>
  <si>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</si>
  <si>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</si>
  <si>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</si>
  <si>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</si>
  <si>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</si>
  <si>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</si>
  <si>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</si>
  <si>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</si>
  <si>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</si>
  <si>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</si>
  <si>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</si>
  <si>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</si>
  <si>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</si>
  <si>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</si>
  <si>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</si>
  <si>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</si>
  <si>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</si>
  <si>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</si>
  <si>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</si>
  <si>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</si>
  <si>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</si>
  <si>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</si>
  <si>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</si>
  <si>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</si>
  <si>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</si>
  <si>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</si>
  <si>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</si>
  <si>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</si>
  <si>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</si>
  <si>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</si>
  <si>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</si>
  <si>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</si>
  <si>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</si>
  <si>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</si>
  <si>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</si>
  <si>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</si>
  <si>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</si>
  <si>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</si>
  <si>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</si>
  <si>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</si>
  <si>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</si>
  <si>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</si>
  <si>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</si>
  <si>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</si>
  <si>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</si>
  <si>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</si>
  <si>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</si>
  <si>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</si>
  <si>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</si>
  <si>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</si>
  <si>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</si>
  <si>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</si>
  <si>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</si>
  <si>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</si>
  <si>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</si>
  <si>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</si>
  <si>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</si>
  <si>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</si>
  <si>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</si>
  <si>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</si>
  <si>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</si>
  <si>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</si>
  <si>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</si>
  <si>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</si>
  <si>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</si>
  <si>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</si>
  <si>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</si>
  <si>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</si>
  <si>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</si>
  <si>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</si>
  <si>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</si>
  <si>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</si>
  <si>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</si>
  <si>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</si>
  <si>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</si>
  <si>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</si>
  <si>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</si>
  <si>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</si>
  <si>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</si>
  <si>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</si>
  <si>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</si>
  <si>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</si>
  <si>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</si>
  <si>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</si>
  <si>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</si>
  <si>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</si>
  <si>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</si>
  <si>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</si>
  <si>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</si>
  <si>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</si>
  <si>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</si>
  <si>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</si>
  <si>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</si>
  <si>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</si>
  <si>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</si>
  <si>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</si>
  <si>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</si>
  <si>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</si>
  <si>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</si>
  <si>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</si>
  <si>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</si>
  <si>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</si>
  <si>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</si>
  <si>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</si>
  <si>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</si>
  <si>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</si>
  <si>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</si>
  <si>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</si>
  <si>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</si>
  <si>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</si>
  <si>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</si>
  <si>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</si>
  <si>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</si>
  <si>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</si>
  <si>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</si>
  <si>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</si>
  <si>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</si>
  <si>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</si>
  <si>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</si>
  <si>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</si>
  <si>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</si>
  <si>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</si>
  <si>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</si>
  <si>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</si>
  <si>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</si>
  <si>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</si>
  <si>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</si>
  <si>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</si>
  <si>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</si>
  <si>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</si>
  <si>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</si>
  <si>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</si>
  <si>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</si>
  <si>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</si>
  <si>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</si>
  <si>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</si>
  <si>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</si>
  <si>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</si>
  <si>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</si>
  <si>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</si>
  <si>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</si>
  <si>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</si>
  <si>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</si>
  <si>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</si>
  <si>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</si>
  <si>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</si>
  <si>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</si>
  <si>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</si>
  <si>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</si>
  <si>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</si>
  <si>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</si>
  <si>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</si>
  <si>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</si>
  <si>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</si>
  <si>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</si>
  <si>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</si>
  <si>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</si>
  <si>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</si>
  <si>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</si>
  <si>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</si>
  <si>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</si>
  <si>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</si>
  <si>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</si>
  <si>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</si>
  <si>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</si>
  <si>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</si>
  <si>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</si>
  <si>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</si>
  <si>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</si>
  <si>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</si>
  <si>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</si>
  <si>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</si>
  <si>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</si>
  <si>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</si>
  <si>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</si>
  <si>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</si>
  <si>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</si>
  <si>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</si>
  <si>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</si>
  <si>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</si>
  <si>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</si>
  <si>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</si>
  <si>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</si>
  <si>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</si>
  <si>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</si>
  <si>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</si>
  <si>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</si>
  <si>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</si>
  <si>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</si>
  <si>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</si>
  <si>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</si>
  <si>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</si>
  <si>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</si>
  <si>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</si>
  <si>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</si>
  <si>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</si>
  <si>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</si>
  <si>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</si>
  <si>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</si>
  <si>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</si>
  <si>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</si>
  <si>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</si>
  <si>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</si>
  <si>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</si>
  <si>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</si>
  <si>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</si>
  <si>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</si>
  <si>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</si>
  <si>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</si>
  <si>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</si>
  <si>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</si>
  <si>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</si>
  <si>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</si>
  <si>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</si>
  <si>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</si>
  <si>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</si>
  <si>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</si>
  <si>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</si>
  <si>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</si>
  <si>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</si>
  <si>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</si>
  <si>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</si>
  <si>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</si>
  <si>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</si>
  <si>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</si>
  <si>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</si>
  <si>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</si>
  <si>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</si>
  <si>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</si>
  <si>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</si>
  <si>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</si>
  <si>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</si>
  <si>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</si>
  <si>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</si>
  <si>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</si>
  <si>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</si>
  <si>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</si>
  <si>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</si>
  <si>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</si>
  <si>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</si>
  <si>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</si>
  <si>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</si>
  <si>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</si>
  <si>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</si>
  <si>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</si>
  <si>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</si>
  <si>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</si>
  <si>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</si>
  <si>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</si>
  <si>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</si>
  <si>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</si>
  <si>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</si>
  <si>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</si>
  <si>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</si>
  <si>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</si>
  <si>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</si>
  <si>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</si>
  <si>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</si>
  <si>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</si>
  <si>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</si>
  <si>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</si>
  <si>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</si>
  <si>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</si>
  <si>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</si>
  <si>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</si>
  <si>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</si>
  <si>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</si>
  <si>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</si>
  <si>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</si>
  <si>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</si>
  <si>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</si>
  <si>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</si>
  <si>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</si>
  <si>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</si>
  <si>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</si>
  <si>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</si>
  <si>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</si>
  <si>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</si>
  <si>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</si>
  <si>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</si>
  <si>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</si>
  <si>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</si>
  <si>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</si>
  <si>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</si>
  <si>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</si>
  <si>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</si>
  <si>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</si>
  <si>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</si>
  <si>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</si>
  <si>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</si>
  <si>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</si>
  <si>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</si>
  <si>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</si>
  <si>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</si>
  <si>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</si>
  <si>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</si>
  <si>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</si>
  <si>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</si>
  <si>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</si>
  <si>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</si>
  <si>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</si>
  <si>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</si>
  <si>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</si>
  <si>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</si>
  <si>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</si>
  <si>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</si>
  <si>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</si>
  <si>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</si>
  <si>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</si>
  <si>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</si>
  <si>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</si>
  <si>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</si>
  <si>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</si>
  <si>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</si>
  <si>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</si>
  <si>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</si>
  <si>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</si>
  <si>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</si>
  <si>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</si>
  <si>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</si>
  <si>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</si>
  <si>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</si>
  <si>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</si>
  <si>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</si>
  <si>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</si>
  <si>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</si>
  <si>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</si>
  <si>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</si>
  <si>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</si>
  <si>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</si>
  <si>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</si>
  <si>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</si>
  <si>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</si>
  <si>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</si>
  <si>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</si>
  <si>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</si>
  <si>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</si>
  <si>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</si>
  <si>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</si>
  <si>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</si>
  <si>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</si>
  <si>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</si>
  <si>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</si>
  <si>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</si>
  <si>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</si>
  <si>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</si>
  <si>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</si>
  <si>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</si>
  <si>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</si>
  <si>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</si>
  <si>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</si>
  <si>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</si>
  <si>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</si>
  <si>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</si>
  <si>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</si>
  <si>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</si>
  <si>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</si>
  <si>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</si>
  <si>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</si>
  <si>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</si>
  <si>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</si>
  <si>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</si>
  <si>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</si>
  <si>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</si>
  <si>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</si>
  <si>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</si>
  <si>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</si>
  <si>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</si>
  <si>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</si>
  <si>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</si>
  <si>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</si>
  <si>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</si>
  <si>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</si>
  <si>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</si>
  <si>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</si>
  <si>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</si>
  <si>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</si>
  <si>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</si>
  <si>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</si>
  <si>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</si>
  <si>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</si>
  <si>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</si>
  <si>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</si>
  <si>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</si>
  <si>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</si>
  <si>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</si>
  <si>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</si>
  <si>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</si>
  <si>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</si>
  <si>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</si>
  <si>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</si>
  <si>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</si>
  <si>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</si>
  <si>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</si>
  <si>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</si>
  <si>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</si>
  <si>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</si>
  <si>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</si>
  <si>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</si>
  <si>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</si>
  <si>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</si>
  <si>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</si>
  <si>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</si>
  <si>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</si>
  <si>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</si>
  <si>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</si>
  <si>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</si>
  <si>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</si>
  <si>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</si>
  <si>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</si>
  <si>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</si>
  <si>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</si>
  <si>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</si>
  <si>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</si>
  <si>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</si>
  <si>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</si>
  <si>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</si>
  <si>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</si>
  <si>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</si>
  <si>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</si>
  <si>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</si>
  <si>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</si>
  <si>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</si>
  <si>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</si>
  <si>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</si>
  <si>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</si>
  <si>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</si>
  <si>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</si>
  <si>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</si>
  <si>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</si>
  <si>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</si>
  <si>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</si>
  <si>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</si>
  <si>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</si>
  <si>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</si>
  <si>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</si>
  <si>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</si>
  <si>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</si>
  <si>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</si>
  <si>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</si>
  <si>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</si>
  <si>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</si>
  <si>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</si>
  <si>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</si>
  <si>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</si>
  <si>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</si>
  <si>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</si>
  <si>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</si>
  <si>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</si>
  <si>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</si>
  <si>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</si>
  <si>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</si>
  <si>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</si>
  <si>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</si>
  <si>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</si>
  <si>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</si>
  <si>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</si>
  <si>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</si>
  <si>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</si>
  <si>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</si>
  <si>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</si>
  <si>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</si>
  <si>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</si>
  <si>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</si>
  <si>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</si>
  <si>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</si>
  <si>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</si>
  <si>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</si>
  <si>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</si>
  <si>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</si>
  <si>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</si>
  <si>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</si>
  <si>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</si>
  <si>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</si>
  <si>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</si>
  <si>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</si>
  <si>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</si>
  <si>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</si>
  <si>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</si>
  <si>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</si>
  <si>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</si>
  <si>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</si>
  <si>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</si>
  <si>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</si>
  <si>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</si>
  <si>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</si>
  <si>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</si>
  <si>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</si>
  <si>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</si>
  <si>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</si>
  <si>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</si>
  <si>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</si>
  <si>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</si>
  <si>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</si>
  <si>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</si>
  <si>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</si>
  <si>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</si>
  <si>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</si>
  <si>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</si>
  <si>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</si>
  <si>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</si>
  <si>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</si>
  <si>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</si>
  <si>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</si>
  <si>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</si>
  <si>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</si>
  <si>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</si>
  <si>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</si>
  <si>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</si>
  <si>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</si>
  <si>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</si>
  <si>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</si>
  <si>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</si>
  <si>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</si>
  <si>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</si>
  <si>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</si>
  <si>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</si>
  <si>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</si>
  <si>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</si>
  <si>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</si>
  <si>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</si>
  <si>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</si>
  <si>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</si>
  <si>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</si>
  <si>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</si>
  <si>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</si>
  <si>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</si>
  <si>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</si>
  <si>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</si>
  <si>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</si>
  <si>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</si>
  <si>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</si>
  <si>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</si>
  <si>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</si>
  <si>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</si>
  <si>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</si>
  <si>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</si>
  <si>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</si>
  <si>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</si>
  <si>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</si>
  <si>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</si>
  <si>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</si>
  <si>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</si>
  <si>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</si>
  <si>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</si>
  <si>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</si>
  <si>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</si>
  <si>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</si>
  <si>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</si>
  <si>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</si>
  <si>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</si>
  <si>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</si>
  <si>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</si>
  <si>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</si>
  <si>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</si>
  <si>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</si>
  <si>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</si>
  <si>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</si>
  <si>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</si>
  <si>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</si>
  <si>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</si>
  <si>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</si>
  <si>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</si>
  <si>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</si>
  <si>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</si>
  <si>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</si>
  <si>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</si>
  <si>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</si>
  <si>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</si>
  <si>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</si>
  <si>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</si>
  <si>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</si>
  <si>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</si>
  <si>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</si>
  <si>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</si>
  <si>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</si>
  <si>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</si>
  <si>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</si>
  <si>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</si>
  <si>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</si>
  <si>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</si>
  <si>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</si>
  <si>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</si>
  <si>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</si>
  <si>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</si>
  <si>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</si>
  <si>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</si>
  <si>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</si>
  <si>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</si>
  <si>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</si>
  <si>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</si>
  <si>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</si>
  <si>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</si>
  <si>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</si>
  <si>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</si>
  <si>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</si>
  <si>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</si>
  <si>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</si>
  <si>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</si>
  <si>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</si>
  <si>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</si>
  <si>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</si>
  <si>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</si>
  <si>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</si>
  <si>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</si>
  <si>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</si>
  <si>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</si>
  <si>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</si>
  <si>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</si>
  <si>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</si>
  <si>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</si>
  <si>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</si>
  <si>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</si>
  <si>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</si>
  <si>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</si>
  <si>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</si>
  <si>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</si>
  <si>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</si>
  <si>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</si>
  <si>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</si>
  <si>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</si>
  <si>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</si>
  <si>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</si>
  <si>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</si>
  <si>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</si>
  <si>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</si>
  <si>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</si>
  <si>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</si>
  <si>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</si>
  <si>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</si>
  <si>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</si>
  <si>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</si>
  <si>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</si>
  <si>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</si>
  <si>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</si>
  <si>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</si>
  <si>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</si>
  <si>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</si>
  <si>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</si>
  <si>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</si>
  <si>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</si>
  <si>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</si>
  <si>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</si>
  <si>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</si>
  <si>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</si>
  <si>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</si>
  <si>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</si>
  <si>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</si>
  <si>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</si>
  <si>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</si>
  <si>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</si>
  <si>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</si>
  <si>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</si>
  <si>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</si>
  <si>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</si>
  <si>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</si>
  <si>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</si>
  <si>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</si>
  <si>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</si>
  <si>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</si>
  <si>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</si>
  <si>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</si>
  <si>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</si>
  <si>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</si>
  <si>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</si>
  <si>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</si>
  <si>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</si>
  <si>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</si>
  <si>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</si>
  <si>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</si>
  <si>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</si>
  <si>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</si>
  <si>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</si>
  <si>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</si>
  <si>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</si>
  <si>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</si>
  <si>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</si>
  <si>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</si>
  <si>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</si>
  <si>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</si>
  <si>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</si>
  <si>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</si>
  <si>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</si>
  <si>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</si>
  <si>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</si>
  <si>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</si>
  <si>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</si>
  <si>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</si>
  <si>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</si>
  <si>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</si>
  <si>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</si>
  <si>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</si>
  <si>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</si>
  <si>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</si>
  <si>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</si>
  <si>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</si>
  <si>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</si>
  <si>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</si>
  <si>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</si>
  <si>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</si>
  <si>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</si>
  <si>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</si>
  <si>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</si>
  <si>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</si>
  <si>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</si>
  <si>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</si>
  <si>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</si>
  <si>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</si>
  <si>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</si>
  <si>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</si>
  <si>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</si>
  <si>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</si>
  <si>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</si>
  <si>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</si>
  <si>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</si>
  <si>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</si>
  <si>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</si>
  <si>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</si>
  <si>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</si>
  <si>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</si>
  <si>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</si>
  <si>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</si>
  <si>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</si>
  <si>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</si>
  <si>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</si>
  <si>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</si>
  <si>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</si>
  <si>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</si>
  <si>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</si>
  <si>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</si>
  <si>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</si>
  <si>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</si>
  <si>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</si>
  <si>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</si>
  <si>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</si>
  <si>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</si>
  <si>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</si>
  <si>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</si>
  <si>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</si>
  <si>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</si>
  <si>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</si>
  <si>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</si>
  <si>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</si>
  <si>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</si>
  <si>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</si>
  <si>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</si>
  <si>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</si>
  <si>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</si>
  <si>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</si>
  <si>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</si>
  <si>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</si>
  <si>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</si>
  <si>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</si>
  <si>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</si>
  <si>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</si>
  <si>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</si>
  <si>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</si>
  <si>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</si>
  <si>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</si>
  <si>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</si>
  <si>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</si>
  <si>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</si>
  <si>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</si>
  <si>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</si>
  <si>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</si>
  <si>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</si>
  <si>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</si>
  <si>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</si>
  <si>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</si>
  <si>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</si>
  <si>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</si>
  <si>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</si>
  <si>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</si>
  <si>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</si>
  <si>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</si>
  <si>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</si>
  <si>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</si>
  <si>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</si>
  <si>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</si>
  <si>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</si>
  <si>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</si>
  <si>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</si>
  <si>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</si>
  <si>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</si>
  <si>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</si>
  <si>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</si>
  <si>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</si>
  <si>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</si>
  <si>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</si>
  <si>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</si>
  <si>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</si>
  <si>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</si>
  <si>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</si>
  <si>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</si>
  <si>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</si>
  <si>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</si>
  <si>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</si>
  <si>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</si>
  <si>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</si>
  <si>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</si>
  <si>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</si>
  <si>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</si>
  <si>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</si>
  <si>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</si>
  <si>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</si>
  <si>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</si>
  <si>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</si>
  <si>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</si>
  <si>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</si>
  <si>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</si>
  <si>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</si>
  <si>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</si>
  <si>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</si>
  <si>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</si>
  <si>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</si>
  <si>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</si>
  <si>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</si>
  <si>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</si>
  <si>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</si>
  <si>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</si>
  <si>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</si>
  <si>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</si>
  <si>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</si>
  <si>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</si>
  <si>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</si>
  <si>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</si>
  <si>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</si>
  <si>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</si>
  <si>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</si>
  <si>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</si>
  <si>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</si>
  <si>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</si>
  <si>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</si>
  <si>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</si>
  <si>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</si>
  <si>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</si>
  <si>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</si>
  <si>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</si>
  <si>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</si>
  <si>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</si>
  <si>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</si>
  <si>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</si>
  <si>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</si>
  <si>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</si>
  <si>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</si>
  <si>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</si>
  <si>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</si>
  <si>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</si>
  <si>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</si>
  <si>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</si>
  <si>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</si>
  <si>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</si>
  <si>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</si>
  <si>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</si>
  <si>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</si>
  <si>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</si>
  <si>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</si>
  <si>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</si>
  <si>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</si>
  <si>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</si>
  <si>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</si>
  <si>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</si>
  <si>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</si>
  <si>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</si>
  <si>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</si>
  <si>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</si>
  <si>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</si>
  <si>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</si>
  <si>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</si>
  <si>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</si>
  <si>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</si>
  <si>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</si>
  <si>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</si>
  <si>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</si>
  <si>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</si>
  <si>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</si>
  <si>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</si>
  <si>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</si>
  <si>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</si>
  <si>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</si>
  <si>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</si>
  <si>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</si>
  <si>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</si>
  <si>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</si>
  <si>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</si>
  <si>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</si>
  <si>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</si>
  <si>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</si>
  <si>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</si>
  <si>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</si>
  <si>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</si>
  <si>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</si>
  <si>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</si>
  <si>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</si>
  <si>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</si>
  <si>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</si>
  <si>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</si>
  <si>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</si>
  <si>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</si>
  <si>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</si>
  <si>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</si>
  <si>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</si>
  <si>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</si>
  <si>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</si>
  <si>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</si>
  <si>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</si>
  <si>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</si>
  <si>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</si>
  <si>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</si>
  <si>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</si>
  <si>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</si>
  <si>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</si>
  <si>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</si>
  <si>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</si>
  <si>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</si>
  <si>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</si>
  <si>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</si>
  <si>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</si>
  <si>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</si>
  <si>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</si>
  <si>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</si>
  <si>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</si>
  <si>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</si>
  <si>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Formulación y aprobación del documento de política</t>
  </si>
  <si>
    <t>Porcentaje</t>
  </si>
  <si>
    <t>Apoyo logístico para mesas de trabajo en la formulación de la política</t>
  </si>
  <si>
    <t>Programa de Asistencia y Asesoría a la mujer</t>
  </si>
  <si>
    <t>Programa de formación laboral y emprendimiento</t>
  </si>
  <si>
    <t>Realización de Eventos sicosociales y/o culturales</t>
  </si>
  <si>
    <t>Número</t>
  </si>
  <si>
    <t>SECRETARIA DE DESARROLLO E INTEGRACIÓN SOCIAL (E)</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</si>
  <si>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</si>
  <si>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</si>
  <si>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</si>
  <si>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</si>
  <si>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</si>
  <si>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</si>
  <si>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</si>
  <si>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</si>
  <si>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</si>
  <si>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</si>
  <si>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</si>
  <si>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</si>
  <si>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personal para la operatividad del programa</t>
  </si>
  <si>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</si>
  <si>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</si>
  <si>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</si>
  <si>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</si>
  <si>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</si>
  <si>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</si>
  <si>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Servicio de vigilancia para instalaciones de programas para la mujer</t>
  </si>
  <si>
    <t xml:space="preserve">Socialización e implementación de la politica pública de mujer y género </t>
  </si>
  <si>
    <t>NA</t>
  </si>
  <si>
    <t>Contrato No. 389 y 416 de 2019</t>
  </si>
  <si>
    <t>María Teresa Cantor Bello</t>
  </si>
  <si>
    <t>Contrato No. 243 de 2019</t>
  </si>
  <si>
    <t>Nómina de personal Administración Profesional Universitario y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</si>
</sst>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2" fillId="0" borderId="0" xfId="3"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7_Semestre%201\E1.P_F%20%20PRIMERA%20INFANCIA,%20INFANCIA,%20ADOLESCENCIA%20Y%20JUVENTUD\E1.P_F.MR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POBLACIÓN BENEFICIADA"/>
    </sheetNames>
    <sheetDataSet>
      <sheetData sheetId="0"/>
      <sheetData sheetId="1"/>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LUZ EMILCE MAMBUSCAY LÓPEZ - SECRETARIA DE DESARROLLO E INTEGRACIÓN SOCIAL (E)</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G2"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855468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8" t="s">
        <v>2</v>
      </c>
      <c r="C2" s="909"/>
      <c r="D2" s="909"/>
      <c r="E2" s="909"/>
      <c r="F2" s="909"/>
      <c r="G2" s="909"/>
      <c r="H2" s="909"/>
      <c r="I2" s="909"/>
      <c r="J2" s="909"/>
      <c r="K2" s="909"/>
      <c r="L2" s="909"/>
      <c r="M2" s="909"/>
      <c r="N2" s="909"/>
      <c r="O2" s="909"/>
      <c r="P2" s="909"/>
      <c r="Q2" s="909"/>
      <c r="R2" s="909"/>
      <c r="S2" s="909"/>
      <c r="T2" s="909"/>
      <c r="U2" s="909"/>
      <c r="V2" s="909"/>
      <c r="W2" s="909"/>
      <c r="X2" s="909"/>
      <c r="Y2" s="909"/>
      <c r="Z2" s="909"/>
      <c r="AA2" s="909"/>
      <c r="AB2" s="909"/>
      <c r="AC2" s="909"/>
      <c r="AD2" s="909"/>
      <c r="AE2" s="909"/>
      <c r="AF2" s="909"/>
      <c r="AG2" s="909"/>
      <c r="AH2" s="909"/>
      <c r="AI2" s="909"/>
      <c r="AJ2" s="909"/>
      <c r="AK2" s="909"/>
      <c r="AL2" s="909"/>
      <c r="AM2" s="909"/>
      <c r="AN2" s="909"/>
      <c r="AO2" s="909"/>
      <c r="AP2" s="909"/>
      <c r="AQ2" s="909"/>
      <c r="AR2" s="909"/>
      <c r="AS2" s="909"/>
      <c r="AT2" s="909"/>
      <c r="AU2" s="909"/>
      <c r="AV2" s="909"/>
      <c r="AW2" s="909"/>
      <c r="AX2" s="909"/>
      <c r="AY2" s="909"/>
      <c r="AZ2" s="909"/>
      <c r="BA2" s="909"/>
      <c r="BB2" s="909"/>
      <c r="BC2" s="910"/>
      <c r="BE2" s="911"/>
      <c r="BF2" s="913" t="s">
        <v>1669</v>
      </c>
      <c r="BG2" s="914"/>
      <c r="BH2" s="914"/>
      <c r="BI2" s="914"/>
      <c r="BJ2" s="914"/>
      <c r="BK2" s="914"/>
      <c r="BL2" s="914"/>
    </row>
    <row r="3" spans="1:64" ht="15.75" x14ac:dyDescent="0.2">
      <c r="B3" s="915" t="s">
        <v>1670</v>
      </c>
      <c r="C3" s="916"/>
      <c r="D3" s="916"/>
      <c r="E3" s="916"/>
      <c r="F3" s="916"/>
      <c r="G3" s="916"/>
      <c r="H3" s="916"/>
      <c r="I3" s="916"/>
      <c r="J3" s="916"/>
      <c r="K3" s="916"/>
      <c r="L3" s="916"/>
      <c r="M3" s="916"/>
      <c r="N3" s="917">
        <v>2019</v>
      </c>
      <c r="O3" s="917"/>
      <c r="P3" s="91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2"/>
      <c r="BF3" s="913"/>
      <c r="BG3" s="914"/>
      <c r="BH3" s="914"/>
      <c r="BI3" s="914"/>
      <c r="BJ3" s="914"/>
      <c r="BK3" s="914"/>
      <c r="BL3" s="914"/>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8" t="str">
        <f>VLOOKUP($D$9,'CONSOLIDADO PLAN DESARROLLO'!$DT$9:$DZ$62,3,0)</f>
        <v xml:space="preserve">E1. - SOCIAL:  Desarrollo Social con alta competitividad y proyección </v>
      </c>
      <c r="D5" s="918"/>
      <c r="E5" s="918"/>
      <c r="F5" s="918"/>
      <c r="G5" s="918"/>
      <c r="H5" s="918"/>
      <c r="I5" s="919"/>
      <c r="J5" s="920" t="s">
        <v>1672</v>
      </c>
      <c r="K5" s="921"/>
      <c r="L5" s="922" t="str">
        <f>VLOOKUP($D$9,'CONSOLIDADO PLAN DESARROLLO'!$DT$9:$DZ$62,5,0)</f>
        <v>Atención a grupos vulnerables - promoción social</v>
      </c>
      <c r="M5" s="922"/>
      <c r="N5" s="922"/>
      <c r="O5" s="922"/>
      <c r="P5" s="922"/>
      <c r="Q5" s="922"/>
      <c r="R5" s="922"/>
      <c r="S5" s="922"/>
      <c r="T5" s="922"/>
      <c r="U5" s="923"/>
      <c r="V5" s="924" t="s">
        <v>1783</v>
      </c>
      <c r="W5" s="925"/>
      <c r="X5" s="925"/>
      <c r="Y5" s="89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3"/>
      <c r="AA5" s="893"/>
      <c r="AB5" s="893"/>
      <c r="AC5" s="893"/>
      <c r="AD5" s="893"/>
      <c r="AE5" s="893"/>
      <c r="AF5" s="893"/>
      <c r="AG5" s="893"/>
      <c r="AH5" s="893"/>
      <c r="AI5" s="893"/>
      <c r="AJ5" s="893"/>
      <c r="AK5" s="893"/>
      <c r="AL5" s="893"/>
      <c r="AM5" s="893"/>
      <c r="AN5" s="893"/>
      <c r="AO5" s="893"/>
      <c r="AP5" s="893"/>
      <c r="AQ5" s="893"/>
      <c r="AR5" s="893"/>
      <c r="AS5" s="893"/>
      <c r="AT5" s="893"/>
      <c r="AU5" s="893"/>
      <c r="AV5" s="893"/>
      <c r="AW5" s="893"/>
      <c r="AX5" s="893"/>
      <c r="AY5" s="893"/>
      <c r="AZ5" s="893"/>
      <c r="BA5" s="893"/>
      <c r="BB5" s="893"/>
      <c r="BC5" s="926"/>
    </row>
    <row r="6" spans="1:64" ht="15" customHeight="1" thickBot="1" x14ac:dyDescent="0.25">
      <c r="B6" s="132" t="s">
        <v>1673</v>
      </c>
      <c r="C6" s="893" t="str">
        <f>VLOOKUP($D$9,'CONSOLIDADO PLAN DESARROLLO'!$DT$9:$DZ$62,6,0)</f>
        <v>E1.P_G - EMPODERAMIENTO E INCLUSIÓN DE GÉNERO Y POBLACIÓN LGTBI</v>
      </c>
      <c r="D6" s="893"/>
      <c r="E6" s="893"/>
      <c r="F6" s="894"/>
      <c r="G6" s="993" t="s">
        <v>1785</v>
      </c>
      <c r="H6" s="994"/>
      <c r="I6" s="994"/>
      <c r="J6" s="994"/>
      <c r="K6" s="995" t="str">
        <f>VLOOKUP($D$9,'CONSOLIDADO PLAN DESARROLLO'!$DT$9:$DZ$62,7,0)</f>
        <v>Reivindicar los derechos vulnerados de la mujer y garantizar la inclusión de la comunidad LGBTI, en el marco de una sociedad respetuosa de sus derechos</v>
      </c>
      <c r="L6" s="995"/>
      <c r="M6" s="995"/>
      <c r="N6" s="995"/>
      <c r="O6" s="995"/>
      <c r="P6" s="995"/>
      <c r="Q6" s="996"/>
      <c r="R6" s="895" t="s">
        <v>1950</v>
      </c>
      <c r="S6" s="896"/>
      <c r="T6" s="896"/>
      <c r="U6" s="896"/>
      <c r="V6" s="897"/>
      <c r="W6" s="897"/>
      <c r="X6" s="897"/>
      <c r="Y6" s="897"/>
      <c r="Z6" s="897"/>
      <c r="AA6" s="897"/>
      <c r="AB6" s="897"/>
      <c r="AC6" s="897"/>
      <c r="AD6" s="897"/>
      <c r="AE6" s="897"/>
      <c r="AF6" s="897"/>
      <c r="AG6" s="897"/>
      <c r="AH6" s="897"/>
      <c r="AI6" s="897"/>
      <c r="AJ6" s="897"/>
      <c r="AK6" s="898"/>
      <c r="AL6" s="899" t="s">
        <v>1674</v>
      </c>
      <c r="AM6" s="900"/>
      <c r="AN6" s="900"/>
      <c r="AO6" s="900"/>
      <c r="AP6" s="900"/>
      <c r="AQ6" s="900"/>
      <c r="AR6" s="900"/>
      <c r="AS6" s="900"/>
      <c r="AT6" s="900"/>
      <c r="AU6" s="900"/>
      <c r="AV6" s="900"/>
      <c r="AW6" s="900"/>
      <c r="AX6" s="900"/>
      <c r="AY6" s="900"/>
      <c r="AZ6" s="900"/>
      <c r="BA6" s="900"/>
      <c r="BB6" s="900"/>
      <c r="BC6" s="901"/>
    </row>
    <row r="7" spans="1:64" ht="36" customHeight="1" x14ac:dyDescent="0.2">
      <c r="B7" s="997" t="s">
        <v>1675</v>
      </c>
      <c r="C7" s="998"/>
      <c r="D7" s="902" t="s">
        <v>1676</v>
      </c>
      <c r="E7" s="1001" t="s">
        <v>1677</v>
      </c>
      <c r="F7" s="904" t="s">
        <v>1678</v>
      </c>
      <c r="G7" s="906" t="s">
        <v>1679</v>
      </c>
      <c r="H7" s="944" t="s">
        <v>1786</v>
      </c>
      <c r="I7" s="946" t="s">
        <v>1908</v>
      </c>
      <c r="J7" s="948">
        <f>+$N$3</f>
        <v>2019</v>
      </c>
      <c r="K7" s="950" t="s">
        <v>1681</v>
      </c>
      <c r="L7" s="952" t="s">
        <v>1941</v>
      </c>
      <c r="M7" s="133"/>
      <c r="N7" s="133"/>
      <c r="O7" s="133"/>
      <c r="P7" s="133"/>
      <c r="Q7" s="133"/>
      <c r="R7" s="954" t="s">
        <v>1910</v>
      </c>
      <c r="S7" s="955"/>
      <c r="T7" s="938" t="s">
        <v>1927</v>
      </c>
      <c r="U7" s="938"/>
      <c r="V7" s="938" t="s">
        <v>1911</v>
      </c>
      <c r="W7" s="938"/>
      <c r="X7" s="938" t="s">
        <v>1912</v>
      </c>
      <c r="Y7" s="938"/>
      <c r="Z7" s="943" t="s">
        <v>1909</v>
      </c>
      <c r="AA7" s="943"/>
      <c r="AB7" s="938" t="s">
        <v>36</v>
      </c>
      <c r="AC7" s="938"/>
      <c r="AD7" s="938" t="s">
        <v>1928</v>
      </c>
      <c r="AE7" s="938"/>
      <c r="AF7" s="938" t="s">
        <v>1913</v>
      </c>
      <c r="AG7" s="938"/>
      <c r="AH7" s="938" t="s">
        <v>1943</v>
      </c>
      <c r="AI7" s="938"/>
      <c r="AJ7" s="939" t="s">
        <v>1923</v>
      </c>
      <c r="AK7" s="940"/>
      <c r="AL7" s="941" t="s">
        <v>1682</v>
      </c>
      <c r="AM7" s="942"/>
      <c r="AN7" s="942"/>
      <c r="AO7" s="942"/>
      <c r="AP7" s="942"/>
      <c r="AQ7" s="942"/>
      <c r="AR7" s="942"/>
      <c r="AS7" s="942" t="s">
        <v>1683</v>
      </c>
      <c r="AT7" s="942"/>
      <c r="AU7" s="942"/>
      <c r="AV7" s="942" t="s">
        <v>1684</v>
      </c>
      <c r="AW7" s="942"/>
      <c r="AX7" s="942"/>
      <c r="AY7" s="942"/>
      <c r="AZ7" s="942"/>
      <c r="BA7" s="929" t="s">
        <v>1685</v>
      </c>
      <c r="BB7" s="927" t="s">
        <v>1944</v>
      </c>
      <c r="BC7" s="928" t="s">
        <v>1687</v>
      </c>
    </row>
    <row r="8" spans="1:64" ht="57" customHeight="1" x14ac:dyDescent="0.2">
      <c r="B8" s="999"/>
      <c r="C8" s="1000"/>
      <c r="D8" s="903"/>
      <c r="E8" s="1002"/>
      <c r="F8" s="905"/>
      <c r="G8" s="907"/>
      <c r="H8" s="945"/>
      <c r="I8" s="947"/>
      <c r="J8" s="949"/>
      <c r="K8" s="951"/>
      <c r="L8" s="953"/>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9"/>
      <c r="BB8" s="927"/>
      <c r="BC8" s="928"/>
    </row>
    <row r="9" spans="1:64" ht="78" customHeight="1" x14ac:dyDescent="0.2">
      <c r="B9" s="1003" t="s">
        <v>1955</v>
      </c>
      <c r="C9" s="1004"/>
      <c r="D9" s="879" t="s">
        <v>219</v>
      </c>
      <c r="E9" s="102" t="str">
        <f>VLOOKUP($D$9,'CONSOLIDADO PLAN DESARROLLO'!$EB$9:$EF$62,2,0)</f>
        <v xml:space="preserve">Ampliar los programas dirigidos a la Mujer </v>
      </c>
      <c r="F9" s="37" t="str">
        <f>VLOOKUP($D$9,'CONSOLIDADO PLAN DESARROLLO'!$EB$9:$EF$62,3,0)</f>
        <v xml:space="preserve">Programas ampliados </v>
      </c>
      <c r="G9" s="98">
        <f>VLOOKUP($D$9,'CONSOLIDADO PLAN DESARROLLO'!$EB$9:$EF$62,4,0)</f>
        <v>1</v>
      </c>
      <c r="H9" s="98">
        <f>VLOOKUP($D$9,'CONSOLIDADO PLAN DESARROLLO'!$EB$9:$EF$62,5,0)</f>
        <v>3</v>
      </c>
      <c r="I9" s="930">
        <v>3</v>
      </c>
      <c r="J9" s="931"/>
      <c r="K9" s="880">
        <v>2</v>
      </c>
      <c r="L9" s="854">
        <v>3</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306250000</v>
      </c>
      <c r="AA9" s="135">
        <f t="shared" si="0"/>
        <v>272398045</v>
      </c>
      <c r="AB9" s="136">
        <f t="shared" si="0"/>
        <v>0</v>
      </c>
      <c r="AC9" s="135">
        <f t="shared" si="0"/>
        <v>0</v>
      </c>
      <c r="AD9" s="136">
        <f t="shared" si="0"/>
        <v>0</v>
      </c>
      <c r="AE9" s="135">
        <f t="shared" si="0"/>
        <v>0</v>
      </c>
      <c r="AF9" s="136">
        <f t="shared" si="0"/>
        <v>3500000</v>
      </c>
      <c r="AG9" s="135">
        <f t="shared" si="0"/>
        <v>3500000</v>
      </c>
      <c r="AH9" s="136">
        <f t="shared" ref="AH9:AI9" si="1">+AH12+AH21+AH30+AH39+AH48+AH57+AH66+AH75+AH84+AH93+AH102+AH111+AH120+AH129+AH138+AH147+AH156+AH165+AH174+AH183+AH192</f>
        <v>0</v>
      </c>
      <c r="AI9" s="135">
        <f t="shared" si="1"/>
        <v>0</v>
      </c>
      <c r="AJ9" s="137">
        <f t="shared" si="0"/>
        <v>309750000</v>
      </c>
      <c r="AK9" s="138">
        <f t="shared" si="0"/>
        <v>275898045</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7"/>
      <c r="O11" s="93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6">
        <v>1</v>
      </c>
      <c r="B12" s="161" t="s">
        <v>1705</v>
      </c>
      <c r="C12" s="162" t="s">
        <v>1706</v>
      </c>
      <c r="D12" s="163" t="s">
        <v>21</v>
      </c>
      <c r="E12" s="163" t="s">
        <v>1892</v>
      </c>
      <c r="F12" s="162" t="s">
        <v>1707</v>
      </c>
      <c r="G12" s="164" t="s">
        <v>1679</v>
      </c>
      <c r="H12" s="164" t="s">
        <v>1680</v>
      </c>
      <c r="I12" s="165" t="s">
        <v>1908</v>
      </c>
      <c r="J12" s="166">
        <f>+$N$3</f>
        <v>2019</v>
      </c>
      <c r="K12" s="164" t="s">
        <v>1925</v>
      </c>
      <c r="L12" s="165" t="s">
        <v>1941</v>
      </c>
      <c r="M12" s="162" t="s">
        <v>1708</v>
      </c>
      <c r="N12" s="162" t="s">
        <v>1709</v>
      </c>
      <c r="O12" s="162" t="s">
        <v>1710</v>
      </c>
      <c r="P12" s="162" t="s">
        <v>1951</v>
      </c>
      <c r="Q12" s="162" t="s">
        <v>1942</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33750000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33750000</v>
      </c>
      <c r="AK12" s="173">
        <f t="shared" si="2"/>
        <v>0</v>
      </c>
      <c r="AL12" s="860"/>
      <c r="AM12" s="861"/>
      <c r="AN12" s="861"/>
      <c r="AO12" s="861"/>
      <c r="AP12" s="861"/>
      <c r="AQ12" s="861"/>
      <c r="AR12" s="862"/>
      <c r="AS12" s="863"/>
      <c r="AT12" s="861"/>
      <c r="AU12" s="862"/>
      <c r="AV12" s="863"/>
      <c r="AW12" s="861"/>
      <c r="AX12" s="861"/>
      <c r="AY12" s="861"/>
      <c r="AZ12" s="864"/>
      <c r="BA12" s="44" t="s">
        <v>1685</v>
      </c>
      <c r="BB12" s="44" t="s">
        <v>1944</v>
      </c>
      <c r="BC12" s="45" t="s">
        <v>1687</v>
      </c>
    </row>
    <row r="13" spans="1:64" ht="22.5" customHeight="1" x14ac:dyDescent="0.2">
      <c r="A13" s="957"/>
      <c r="B13" s="959" t="str">
        <f>VLOOKUP($D$9,'PROYECTOS REGISTRADOS'!$A$2:$D$82,4,0)</f>
        <v>Ampliación de programas para atención a la mujer en el Municipio de Tocancipá, Cundinamarca, Centro Oriente</v>
      </c>
      <c r="C13" s="962" t="str">
        <f>VLOOKUP($D$9,'PROYECTOS REGISTRADOS'!$A$2:$D$82,3,0)</f>
        <v>2016-25817-0031</v>
      </c>
      <c r="D13" s="965" t="s">
        <v>757</v>
      </c>
      <c r="E13" s="971" t="str">
        <f>IF(D13=0,"0-0",(VLOOKUP(D13,'CONSOLIDADO PLAN DESARROLLO'!$EL$9:$ET$304,2,0)))</f>
        <v>Formular e implementar de la Política Pública de Mujer y Género</v>
      </c>
      <c r="F13" s="968" t="str">
        <f>IF(D13=0,"0-0",(VLOOKUP(D13,'CONSOLIDADO PLAN DESARROLLO'!$EL$9:$ET$304,3,0)))</f>
        <v>Política Implementada</v>
      </c>
      <c r="G13" s="990">
        <f>IF(D13=0,"0-0",(VLOOKUP(D13,'CONSOLIDADO PLAN DESARROLLO'!$EL$9:$ET$304,4,0)))</f>
        <v>0</v>
      </c>
      <c r="H13" s="974">
        <f>IF(D13=0,"0-0",(VLOOKUP(D13,'CONSOLIDADO PLAN DESARROLLO'!$EL$9:$ET$304,5,0)))</f>
        <v>1</v>
      </c>
      <c r="I13" s="977">
        <f>IF(D13=0,"0-0",(VLOOKUP(D13,'CONSOLIDADO PLAN DESARROLLO'!$EL$9:$ET$304,$R$3,0)))</f>
        <v>0</v>
      </c>
      <c r="J13" s="978"/>
      <c r="K13" s="983">
        <v>0</v>
      </c>
      <c r="L13" s="986">
        <v>0</v>
      </c>
      <c r="M13" s="803" t="s">
        <v>1929</v>
      </c>
      <c r="N13" s="802" t="s">
        <v>1930</v>
      </c>
      <c r="O13" s="804">
        <v>0.8</v>
      </c>
      <c r="P13" s="47">
        <v>0</v>
      </c>
      <c r="Q13" s="47">
        <v>0</v>
      </c>
      <c r="R13" s="884">
        <f>VLOOKUP($D13,'[5]Tablero Logro Metas 2019'!$AK$7:$AS$302,3,0)</f>
        <v>0</v>
      </c>
      <c r="S13" s="48">
        <v>0</v>
      </c>
      <c r="T13" s="887">
        <f>VLOOKUP($D13,'[5]Tablero Logro Metas 2019'!$AK$7:$AS$302,4,0)</f>
        <v>0</v>
      </c>
      <c r="U13" s="49">
        <v>0</v>
      </c>
      <c r="V13" s="887">
        <f>VLOOKUP($D13,'[5]Tablero Logro Metas 2019'!$AK$7:$AS$302,5,0)</f>
        <v>0</v>
      </c>
      <c r="W13" s="49">
        <v>0</v>
      </c>
      <c r="X13" s="887">
        <f>VLOOKUP($D13,'[5]Tablero Logro Metas 2019'!$AK$7:$AS$302,6,0)</f>
        <v>0</v>
      </c>
      <c r="Y13" s="49">
        <v>0</v>
      </c>
      <c r="Z13" s="887">
        <f>VLOOKUP($D13,'[5]Tablero Logro Metas 2019'!$AK$7:$AS$302,7,0)</f>
        <v>33750000</v>
      </c>
      <c r="AA13" s="49">
        <v>0</v>
      </c>
      <c r="AB13" s="887">
        <f>VLOOKUP($D13,'[5]Tablero Logro Metas 2019'!$AK$7:$AS$302,8,0)</f>
        <v>0</v>
      </c>
      <c r="AC13" s="49">
        <v>0</v>
      </c>
      <c r="AD13" s="887">
        <f>VLOOKUP($D13,'[5]Tablero Logro Metas 2019'!$AK$7:$AS$302,9,0)</f>
        <v>0</v>
      </c>
      <c r="AE13" s="49">
        <v>0</v>
      </c>
      <c r="AF13" s="890">
        <v>0</v>
      </c>
      <c r="AG13" s="50">
        <v>0</v>
      </c>
      <c r="AH13" s="890">
        <v>0</v>
      </c>
      <c r="AI13" s="49">
        <v>0</v>
      </c>
      <c r="AJ13" s="881">
        <f>+R13+T13+V13+X13+Z13+AB13+AD13+AF13+AH13</f>
        <v>33750000</v>
      </c>
      <c r="AK13" s="103">
        <f>AC13+AE13+AG13+S13+U13+W13+Y13+AA13+AI13</f>
        <v>0</v>
      </c>
      <c r="AL13" s="51">
        <v>0</v>
      </c>
      <c r="AM13" s="52">
        <v>0</v>
      </c>
      <c r="AN13" s="52">
        <v>0</v>
      </c>
      <c r="AO13" s="52">
        <v>0</v>
      </c>
      <c r="AP13" s="52">
        <v>0</v>
      </c>
      <c r="AQ13" s="52">
        <v>0</v>
      </c>
      <c r="AR13" s="53">
        <f t="shared" ref="AR13:AR18" si="3">SUM(AL13:AQ13)</f>
        <v>0</v>
      </c>
      <c r="AS13" s="54">
        <v>0</v>
      </c>
      <c r="AT13" s="52">
        <v>0</v>
      </c>
      <c r="AU13" s="53">
        <f t="shared" ref="AU13:AU17" si="4">SUM(AS13:AT13)</f>
        <v>0</v>
      </c>
      <c r="AV13" s="54">
        <v>0</v>
      </c>
      <c r="AW13" s="52">
        <v>0</v>
      </c>
      <c r="AX13" s="52">
        <v>0</v>
      </c>
      <c r="AY13" s="52">
        <v>0</v>
      </c>
      <c r="AZ13" s="55">
        <v>0</v>
      </c>
      <c r="BA13" s="56" t="s">
        <v>1958</v>
      </c>
      <c r="BB13" s="56" t="s">
        <v>1958</v>
      </c>
      <c r="BC13" s="57" t="s">
        <v>1954</v>
      </c>
    </row>
    <row r="14" spans="1:64" ht="35.25" x14ac:dyDescent="0.2">
      <c r="A14" s="957"/>
      <c r="B14" s="959"/>
      <c r="C14" s="962"/>
      <c r="D14" s="965"/>
      <c r="E14" s="972"/>
      <c r="F14" s="968"/>
      <c r="G14" s="990"/>
      <c r="H14" s="974"/>
      <c r="I14" s="979"/>
      <c r="J14" s="980"/>
      <c r="K14" s="983"/>
      <c r="L14" s="987"/>
      <c r="M14" s="803" t="s">
        <v>1931</v>
      </c>
      <c r="N14" s="802" t="s">
        <v>1930</v>
      </c>
      <c r="O14" s="804">
        <v>0.2</v>
      </c>
      <c r="P14" s="47">
        <v>0</v>
      </c>
      <c r="Q14" s="47">
        <v>0</v>
      </c>
      <c r="R14" s="885"/>
      <c r="S14" s="48">
        <v>0</v>
      </c>
      <c r="T14" s="888"/>
      <c r="U14" s="49">
        <v>0</v>
      </c>
      <c r="V14" s="888"/>
      <c r="W14" s="49">
        <v>0</v>
      </c>
      <c r="X14" s="888"/>
      <c r="Y14" s="49">
        <v>0</v>
      </c>
      <c r="Z14" s="888"/>
      <c r="AA14" s="49">
        <v>0</v>
      </c>
      <c r="AB14" s="888"/>
      <c r="AC14" s="49">
        <v>0</v>
      </c>
      <c r="AD14" s="888"/>
      <c r="AE14" s="49">
        <v>0</v>
      </c>
      <c r="AF14" s="891"/>
      <c r="AG14" s="50">
        <v>0</v>
      </c>
      <c r="AH14" s="891"/>
      <c r="AI14" s="49">
        <v>0</v>
      </c>
      <c r="AJ14" s="882"/>
      <c r="AK14" s="103">
        <f t="shared" ref="AK14:AK18" si="5">AC14+AE14+AG14+S14+U14+W14+Y14+AA14+AI14</f>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t="s">
        <v>1958</v>
      </c>
      <c r="BB14" s="56" t="s">
        <v>1958</v>
      </c>
      <c r="BC14" s="57" t="s">
        <v>1954</v>
      </c>
    </row>
    <row r="15" spans="1:64" ht="17.25" customHeight="1" x14ac:dyDescent="0.2">
      <c r="A15" s="957"/>
      <c r="B15" s="959"/>
      <c r="C15" s="962"/>
      <c r="D15" s="965"/>
      <c r="E15" s="972"/>
      <c r="F15" s="968"/>
      <c r="G15" s="990"/>
      <c r="H15" s="974"/>
      <c r="I15" s="979"/>
      <c r="J15" s="980"/>
      <c r="K15" s="983"/>
      <c r="L15" s="987"/>
      <c r="M15" s="859" t="s">
        <v>1956</v>
      </c>
      <c r="N15" s="175"/>
      <c r="O15" s="176"/>
      <c r="P15" s="47">
        <v>0</v>
      </c>
      <c r="Q15" s="47">
        <v>0</v>
      </c>
      <c r="R15" s="885"/>
      <c r="S15" s="48">
        <v>0</v>
      </c>
      <c r="T15" s="888"/>
      <c r="U15" s="49">
        <v>0</v>
      </c>
      <c r="V15" s="888"/>
      <c r="W15" s="49">
        <v>0</v>
      </c>
      <c r="X15" s="888"/>
      <c r="Y15" s="49">
        <v>0</v>
      </c>
      <c r="Z15" s="888"/>
      <c r="AA15" s="49">
        <v>0</v>
      </c>
      <c r="AB15" s="888"/>
      <c r="AC15" s="49">
        <v>0</v>
      </c>
      <c r="AD15" s="888"/>
      <c r="AE15" s="49">
        <v>0</v>
      </c>
      <c r="AF15" s="891"/>
      <c r="AG15" s="50">
        <v>0</v>
      </c>
      <c r="AH15" s="891"/>
      <c r="AI15" s="49">
        <v>0</v>
      </c>
      <c r="AJ15" s="882"/>
      <c r="AK15" s="103">
        <f t="shared" si="5"/>
        <v>0</v>
      </c>
      <c r="AL15" s="51">
        <v>0</v>
      </c>
      <c r="AM15" s="52">
        <v>0</v>
      </c>
      <c r="AN15" s="52">
        <v>0</v>
      </c>
      <c r="AO15" s="52">
        <v>0</v>
      </c>
      <c r="AP15" s="52">
        <v>0</v>
      </c>
      <c r="AQ15" s="52">
        <v>0</v>
      </c>
      <c r="AR15" s="53">
        <f t="shared" si="3"/>
        <v>0</v>
      </c>
      <c r="AS15" s="54">
        <v>0</v>
      </c>
      <c r="AT15" s="52">
        <v>0</v>
      </c>
      <c r="AU15" s="53">
        <f t="shared" si="4"/>
        <v>0</v>
      </c>
      <c r="AV15" s="54">
        <v>0</v>
      </c>
      <c r="AW15" s="52">
        <v>0</v>
      </c>
      <c r="AX15" s="52">
        <v>0</v>
      </c>
      <c r="AY15" s="52">
        <v>0</v>
      </c>
      <c r="AZ15" s="55">
        <v>0</v>
      </c>
      <c r="BA15" s="56" t="s">
        <v>1958</v>
      </c>
      <c r="BB15" s="56" t="s">
        <v>1958</v>
      </c>
      <c r="BC15" s="57" t="s">
        <v>1954</v>
      </c>
    </row>
    <row r="16" spans="1:64" ht="17.25" customHeight="1" x14ac:dyDescent="0.2">
      <c r="A16" s="957"/>
      <c r="B16" s="959"/>
      <c r="C16" s="962"/>
      <c r="D16" s="965"/>
      <c r="E16" s="972"/>
      <c r="F16" s="968"/>
      <c r="G16" s="990"/>
      <c r="H16" s="974"/>
      <c r="I16" s="979"/>
      <c r="J16" s="980"/>
      <c r="K16" s="983"/>
      <c r="L16" s="987"/>
      <c r="M16" s="174" t="s">
        <v>1957</v>
      </c>
      <c r="N16" s="175"/>
      <c r="O16" s="176"/>
      <c r="P16" s="47">
        <v>0</v>
      </c>
      <c r="Q16" s="47">
        <v>0</v>
      </c>
      <c r="R16" s="885"/>
      <c r="S16" s="48">
        <v>0</v>
      </c>
      <c r="T16" s="888"/>
      <c r="U16" s="49">
        <v>0</v>
      </c>
      <c r="V16" s="888"/>
      <c r="W16" s="49">
        <v>0</v>
      </c>
      <c r="X16" s="888"/>
      <c r="Y16" s="49">
        <v>0</v>
      </c>
      <c r="Z16" s="888"/>
      <c r="AA16" s="49">
        <v>0</v>
      </c>
      <c r="AB16" s="888"/>
      <c r="AC16" s="49">
        <v>0</v>
      </c>
      <c r="AD16" s="888"/>
      <c r="AE16" s="49">
        <v>0</v>
      </c>
      <c r="AF16" s="891"/>
      <c r="AG16" s="50">
        <v>0</v>
      </c>
      <c r="AH16" s="891"/>
      <c r="AI16" s="49">
        <v>0</v>
      </c>
      <c r="AJ16" s="882"/>
      <c r="AK16" s="103">
        <f t="shared" si="5"/>
        <v>0</v>
      </c>
      <c r="AL16" s="51">
        <v>0</v>
      </c>
      <c r="AM16" s="52">
        <v>0</v>
      </c>
      <c r="AN16" s="52">
        <v>0</v>
      </c>
      <c r="AO16" s="52">
        <v>0</v>
      </c>
      <c r="AP16" s="52">
        <v>0</v>
      </c>
      <c r="AQ16" s="52">
        <v>0</v>
      </c>
      <c r="AR16" s="53">
        <f t="shared" si="3"/>
        <v>0</v>
      </c>
      <c r="AS16" s="54">
        <v>0</v>
      </c>
      <c r="AT16" s="52">
        <v>0</v>
      </c>
      <c r="AU16" s="53">
        <f t="shared" si="4"/>
        <v>0</v>
      </c>
      <c r="AV16" s="54">
        <v>0</v>
      </c>
      <c r="AW16" s="52">
        <v>0</v>
      </c>
      <c r="AX16" s="52">
        <v>0</v>
      </c>
      <c r="AY16" s="52">
        <v>0</v>
      </c>
      <c r="AZ16" s="55">
        <v>0</v>
      </c>
      <c r="BA16" s="56" t="s">
        <v>1958</v>
      </c>
      <c r="BB16" s="56" t="s">
        <v>1958</v>
      </c>
      <c r="BC16" s="57" t="s">
        <v>1954</v>
      </c>
    </row>
    <row r="17" spans="1:55" ht="17.25" customHeight="1" x14ac:dyDescent="0.2">
      <c r="A17" s="957"/>
      <c r="B17" s="959"/>
      <c r="C17" s="962"/>
      <c r="D17" s="965"/>
      <c r="E17" s="972"/>
      <c r="F17" s="968"/>
      <c r="G17" s="990"/>
      <c r="H17" s="974"/>
      <c r="I17" s="979"/>
      <c r="J17" s="980"/>
      <c r="K17" s="983"/>
      <c r="L17" s="987"/>
      <c r="M17" s="174"/>
      <c r="N17" s="175"/>
      <c r="O17" s="176"/>
      <c r="P17" s="47"/>
      <c r="Q17" s="47"/>
      <c r="R17" s="885"/>
      <c r="S17" s="48"/>
      <c r="T17" s="888"/>
      <c r="U17" s="49"/>
      <c r="V17" s="888"/>
      <c r="W17" s="49"/>
      <c r="X17" s="888"/>
      <c r="Y17" s="49"/>
      <c r="Z17" s="888"/>
      <c r="AA17" s="49"/>
      <c r="AB17" s="888"/>
      <c r="AC17" s="49"/>
      <c r="AD17" s="888"/>
      <c r="AE17" s="49"/>
      <c r="AF17" s="891"/>
      <c r="AG17" s="50"/>
      <c r="AH17" s="891"/>
      <c r="AI17" s="49"/>
      <c r="AJ17" s="882"/>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7"/>
      <c r="B18" s="960"/>
      <c r="C18" s="963"/>
      <c r="D18" s="966"/>
      <c r="E18" s="972"/>
      <c r="F18" s="969"/>
      <c r="G18" s="991"/>
      <c r="H18" s="975"/>
      <c r="I18" s="979"/>
      <c r="J18" s="980"/>
      <c r="K18" s="984"/>
      <c r="L18" s="987"/>
      <c r="M18" s="177"/>
      <c r="N18" s="178"/>
      <c r="O18" s="179"/>
      <c r="P18" s="107"/>
      <c r="Q18" s="107"/>
      <c r="R18" s="885"/>
      <c r="S18" s="108"/>
      <c r="T18" s="888"/>
      <c r="U18" s="109"/>
      <c r="V18" s="888"/>
      <c r="W18" s="109"/>
      <c r="X18" s="888"/>
      <c r="Y18" s="109"/>
      <c r="Z18" s="888"/>
      <c r="AA18" s="109"/>
      <c r="AB18" s="888"/>
      <c r="AC18" s="109"/>
      <c r="AD18" s="888"/>
      <c r="AE18" s="109"/>
      <c r="AF18" s="891"/>
      <c r="AG18" s="110"/>
      <c r="AH18" s="891"/>
      <c r="AI18" s="109"/>
      <c r="AJ18" s="883"/>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8"/>
      <c r="B19" s="961"/>
      <c r="C19" s="964"/>
      <c r="D19" s="967"/>
      <c r="E19" s="973"/>
      <c r="F19" s="970"/>
      <c r="G19" s="992"/>
      <c r="H19" s="976"/>
      <c r="I19" s="981"/>
      <c r="J19" s="982"/>
      <c r="K19" s="985"/>
      <c r="L19" s="988"/>
      <c r="M19" s="180"/>
      <c r="N19" s="181"/>
      <c r="O19" s="182"/>
      <c r="P19" s="117"/>
      <c r="Q19" s="117"/>
      <c r="R19" s="886"/>
      <c r="S19" s="183"/>
      <c r="T19" s="889"/>
      <c r="U19" s="184"/>
      <c r="V19" s="889"/>
      <c r="W19" s="184"/>
      <c r="X19" s="889"/>
      <c r="Y19" s="184"/>
      <c r="Z19" s="889"/>
      <c r="AA19" s="184"/>
      <c r="AB19" s="889"/>
      <c r="AC19" s="184"/>
      <c r="AD19" s="889"/>
      <c r="AE19" s="184"/>
      <c r="AF19" s="892"/>
      <c r="AG19" s="185"/>
      <c r="AH19" s="892"/>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9"/>
      <c r="J20" s="98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6">
        <v>2</v>
      </c>
      <c r="B21" s="161" t="s">
        <v>1705</v>
      </c>
      <c r="C21" s="162" t="s">
        <v>1706</v>
      </c>
      <c r="D21" s="163" t="s">
        <v>21</v>
      </c>
      <c r="E21" s="163" t="s">
        <v>1892</v>
      </c>
      <c r="F21" s="162" t="s">
        <v>1707</v>
      </c>
      <c r="G21" s="164" t="s">
        <v>1679</v>
      </c>
      <c r="H21" s="164" t="s">
        <v>1680</v>
      </c>
      <c r="I21" s="165" t="s">
        <v>1908</v>
      </c>
      <c r="J21" s="166">
        <f>+$N$3</f>
        <v>2019</v>
      </c>
      <c r="K21" s="164" t="s">
        <v>1925</v>
      </c>
      <c r="L21" s="165" t="s">
        <v>1941</v>
      </c>
      <c r="M21" s="162" t="s">
        <v>1708</v>
      </c>
      <c r="N21" s="162" t="s">
        <v>1709</v>
      </c>
      <c r="O21" s="162" t="s">
        <v>1710</v>
      </c>
      <c r="P21" s="162" t="s">
        <v>1951</v>
      </c>
      <c r="Q21" s="162" t="s">
        <v>1942</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22500000</v>
      </c>
      <c r="AA21" s="170">
        <f t="shared" si="6"/>
        <v>22500000</v>
      </c>
      <c r="AB21" s="169">
        <f t="shared" si="6"/>
        <v>0</v>
      </c>
      <c r="AC21" s="170">
        <f t="shared" si="6"/>
        <v>0</v>
      </c>
      <c r="AD21" s="169">
        <f t="shared" si="6"/>
        <v>0</v>
      </c>
      <c r="AE21" s="170">
        <f t="shared" si="6"/>
        <v>0</v>
      </c>
      <c r="AF21" s="169">
        <f t="shared" si="6"/>
        <v>3500000</v>
      </c>
      <c r="AG21" s="171">
        <f t="shared" si="6"/>
        <v>3500000</v>
      </c>
      <c r="AH21" s="169">
        <f t="shared" si="6"/>
        <v>0</v>
      </c>
      <c r="AI21" s="170">
        <f t="shared" si="6"/>
        <v>0</v>
      </c>
      <c r="AJ21" s="172">
        <f t="shared" si="6"/>
        <v>26000000</v>
      </c>
      <c r="AK21" s="173">
        <f t="shared" si="6"/>
        <v>26000000</v>
      </c>
      <c r="AL21" s="860"/>
      <c r="AM21" s="861"/>
      <c r="AN21" s="861"/>
      <c r="AO21" s="861"/>
      <c r="AP21" s="861"/>
      <c r="AQ21" s="861"/>
      <c r="AR21" s="862"/>
      <c r="AS21" s="863"/>
      <c r="AT21" s="861"/>
      <c r="AU21" s="862"/>
      <c r="AV21" s="863"/>
      <c r="AW21" s="861"/>
      <c r="AX21" s="861"/>
      <c r="AY21" s="861"/>
      <c r="AZ21" s="864"/>
      <c r="BA21" s="44" t="s">
        <v>1685</v>
      </c>
      <c r="BB21" s="44" t="s">
        <v>1944</v>
      </c>
      <c r="BC21" s="45" t="s">
        <v>1687</v>
      </c>
    </row>
    <row r="22" spans="1:55" ht="22.5" customHeight="1" x14ac:dyDescent="0.2">
      <c r="A22" s="957"/>
      <c r="B22" s="959" t="str">
        <f>VLOOKUP($D$9,'PROYECTOS REGISTRADOS'!$A$2:$D$82,4,0)</f>
        <v>Ampliación de programas para atención a la mujer en el Municipio de Tocancipá, Cundinamarca, Centro Oriente</v>
      </c>
      <c r="C22" s="962" t="str">
        <f>VLOOKUP($D$9,'PROYECTOS REGISTRADOS'!$A$2:$D$82,3,0)</f>
        <v>2016-25817-0031</v>
      </c>
      <c r="D22" s="965" t="s">
        <v>761</v>
      </c>
      <c r="E22" s="971" t="str">
        <f>IF(D22=0,"0-0",(VLOOKUP(D22,'CONSOLIDADO PLAN DESARROLLO'!$EL$9:$ET$304,2,0)))</f>
        <v>Poner en funcionamiento la Secretaría para la mujer y la familia</v>
      </c>
      <c r="F22" s="968" t="str">
        <f>IF(D22=0,"0-0",(VLOOKUP(D22,'CONSOLIDADO PLAN DESARROLLO'!$EL$9:$ET$304,3,0)))</f>
        <v>Oficina funcionando</v>
      </c>
      <c r="G22" s="990">
        <f>IF(D22=0,"0-0",(VLOOKUP(D22,'CONSOLIDADO PLAN DESARROLLO'!$EL$9:$ET$304,4,0)))</f>
        <v>0</v>
      </c>
      <c r="H22" s="974">
        <f>IF(D22=0,"0-0",(VLOOKUP(D22,'CONSOLIDADO PLAN DESARROLLO'!$EL$9:$ET$304,5,0)))</f>
        <v>1</v>
      </c>
      <c r="I22" s="977">
        <f>IF(D22=0,"0-0",(VLOOKUP(D22,'CONSOLIDADO PLAN DESARROLLO'!$EL$9:$ET$304,$R$3,0)))</f>
        <v>0.25</v>
      </c>
      <c r="J22" s="978"/>
      <c r="K22" s="983">
        <v>0.2</v>
      </c>
      <c r="L22" s="986">
        <v>0.3</v>
      </c>
      <c r="M22" s="801" t="s">
        <v>1932</v>
      </c>
      <c r="N22" s="802" t="s">
        <v>1930</v>
      </c>
      <c r="O22" s="804">
        <v>0.5</v>
      </c>
      <c r="P22" s="47">
        <v>0.3</v>
      </c>
      <c r="Q22" s="47">
        <v>0.5</v>
      </c>
      <c r="R22" s="884">
        <f>VLOOKUP($D22,'[5]Tablero Logro Metas 2019'!$AK$7:$AS$302,3,0)</f>
        <v>0</v>
      </c>
      <c r="S22" s="48">
        <v>0</v>
      </c>
      <c r="T22" s="887">
        <f>VLOOKUP($D22,'[5]Tablero Logro Metas 2019'!$AK$7:$AS$302,4,0)</f>
        <v>0</v>
      </c>
      <c r="U22" s="49">
        <v>0</v>
      </c>
      <c r="V22" s="887">
        <f>VLOOKUP($D22,'[5]Tablero Logro Metas 2019'!$AK$7:$AS$302,5,0)</f>
        <v>0</v>
      </c>
      <c r="W22" s="49">
        <v>0</v>
      </c>
      <c r="X22" s="887">
        <f>VLOOKUP($D22,'[5]Tablero Logro Metas 2019'!$AK$7:$AS$302,6,0)</f>
        <v>0</v>
      </c>
      <c r="Y22" s="49">
        <v>0</v>
      </c>
      <c r="Z22" s="887">
        <f>VLOOKUP($D22,'[5]Tablero Logro Metas 2019'!$AK$7:$AS$302,7,0)</f>
        <v>22500000</v>
      </c>
      <c r="AA22" s="49">
        <v>0</v>
      </c>
      <c r="AB22" s="887">
        <f>VLOOKUP($D22,'[5]Tablero Logro Metas 2019'!$AK$7:$AS$302,8,0)</f>
        <v>0</v>
      </c>
      <c r="AC22" s="49">
        <v>0</v>
      </c>
      <c r="AD22" s="887">
        <f>VLOOKUP($D22,'[5]Tablero Logro Metas 2019'!$AK$7:$AS$302,9,0)</f>
        <v>0</v>
      </c>
      <c r="AE22" s="49">
        <v>0</v>
      </c>
      <c r="AF22" s="890">
        <v>3500000</v>
      </c>
      <c r="AG22" s="50">
        <v>3000000</v>
      </c>
      <c r="AH22" s="890">
        <v>0</v>
      </c>
      <c r="AI22" s="49">
        <v>0</v>
      </c>
      <c r="AJ22" s="881">
        <f>+R22+T22+V22+X22+Z22+AB22+AD22+AF22+AH22</f>
        <v>26000000</v>
      </c>
      <c r="AK22" s="103">
        <f>AC22+AE22+AG22+S22+U22+W22+Y22+AA22+AI22</f>
        <v>3000000</v>
      </c>
      <c r="AL22" s="51">
        <v>0</v>
      </c>
      <c r="AM22" s="52">
        <v>3</v>
      </c>
      <c r="AN22" s="52">
        <v>4</v>
      </c>
      <c r="AO22" s="52">
        <v>20</v>
      </c>
      <c r="AP22" s="52">
        <v>53</v>
      </c>
      <c r="AQ22" s="52">
        <v>17</v>
      </c>
      <c r="AR22" s="53">
        <f t="shared" ref="AR22:AR27" si="7">SUM(AL22:AQ22)</f>
        <v>97</v>
      </c>
      <c r="AS22" s="54">
        <v>84</v>
      </c>
      <c r="AT22" s="52">
        <v>13</v>
      </c>
      <c r="AU22" s="53">
        <f t="shared" ref="AU22:AU26" si="8">SUM(AS22:AT22)</f>
        <v>97</v>
      </c>
      <c r="AV22" s="54">
        <v>3</v>
      </c>
      <c r="AW22" s="52">
        <v>7</v>
      </c>
      <c r="AX22" s="52">
        <v>1</v>
      </c>
      <c r="AY22" s="52">
        <v>0</v>
      </c>
      <c r="AZ22" s="55">
        <v>1</v>
      </c>
      <c r="BA22" s="56" t="s">
        <v>1962</v>
      </c>
      <c r="BB22" s="56" t="s">
        <v>1958</v>
      </c>
      <c r="BC22" s="57" t="s">
        <v>1960</v>
      </c>
    </row>
    <row r="23" spans="1:55" ht="102" x14ac:dyDescent="0.2">
      <c r="A23" s="957"/>
      <c r="B23" s="959"/>
      <c r="C23" s="962"/>
      <c r="D23" s="965"/>
      <c r="E23" s="972"/>
      <c r="F23" s="968"/>
      <c r="G23" s="990"/>
      <c r="H23" s="974"/>
      <c r="I23" s="979"/>
      <c r="J23" s="980"/>
      <c r="K23" s="983"/>
      <c r="L23" s="987"/>
      <c r="M23" s="801" t="s">
        <v>1933</v>
      </c>
      <c r="N23" s="802" t="s">
        <v>1930</v>
      </c>
      <c r="O23" s="804">
        <v>0.5</v>
      </c>
      <c r="P23" s="47">
        <v>0.3</v>
      </c>
      <c r="Q23" s="47">
        <v>0.5</v>
      </c>
      <c r="R23" s="885"/>
      <c r="S23" s="48">
        <v>0</v>
      </c>
      <c r="T23" s="888"/>
      <c r="U23" s="49">
        <v>0</v>
      </c>
      <c r="V23" s="888"/>
      <c r="W23" s="49">
        <v>0</v>
      </c>
      <c r="X23" s="888"/>
      <c r="Y23" s="49">
        <v>0</v>
      </c>
      <c r="Z23" s="888"/>
      <c r="AA23" s="49">
        <v>0</v>
      </c>
      <c r="AB23" s="888"/>
      <c r="AC23" s="49">
        <v>0</v>
      </c>
      <c r="AD23" s="888"/>
      <c r="AE23" s="49">
        <v>0</v>
      </c>
      <c r="AF23" s="891"/>
      <c r="AG23" s="50">
        <v>500000</v>
      </c>
      <c r="AH23" s="891"/>
      <c r="AI23" s="49">
        <v>0</v>
      </c>
      <c r="AJ23" s="882"/>
      <c r="AK23" s="103">
        <f t="shared" ref="AK23:AK27" si="9">AC23+AE23+AG23+S23+U23+W23+Y23+AA23+AI23</f>
        <v>500000</v>
      </c>
      <c r="AL23" s="51">
        <v>0</v>
      </c>
      <c r="AM23" s="52">
        <v>3</v>
      </c>
      <c r="AN23" s="52">
        <v>4</v>
      </c>
      <c r="AO23" s="52">
        <v>20</v>
      </c>
      <c r="AP23" s="52">
        <v>53</v>
      </c>
      <c r="AQ23" s="52">
        <v>17</v>
      </c>
      <c r="AR23" s="53">
        <f t="shared" si="7"/>
        <v>97</v>
      </c>
      <c r="AS23" s="54">
        <v>84</v>
      </c>
      <c r="AT23" s="52">
        <v>13</v>
      </c>
      <c r="AU23" s="53">
        <f t="shared" si="8"/>
        <v>97</v>
      </c>
      <c r="AV23" s="54">
        <v>3</v>
      </c>
      <c r="AW23" s="52">
        <v>7</v>
      </c>
      <c r="AX23" s="52">
        <v>1</v>
      </c>
      <c r="AY23" s="52">
        <v>0</v>
      </c>
      <c r="AZ23" s="55">
        <v>1</v>
      </c>
      <c r="BA23" s="56" t="s">
        <v>1962</v>
      </c>
      <c r="BB23" s="56" t="s">
        <v>1958</v>
      </c>
      <c r="BC23" s="57" t="s">
        <v>1960</v>
      </c>
    </row>
    <row r="24" spans="1:55" ht="28.5" customHeight="1" x14ac:dyDescent="0.2">
      <c r="A24" s="957"/>
      <c r="B24" s="959"/>
      <c r="C24" s="962"/>
      <c r="D24" s="965"/>
      <c r="E24" s="972"/>
      <c r="F24" s="968"/>
      <c r="G24" s="990"/>
      <c r="H24" s="974"/>
      <c r="I24" s="979"/>
      <c r="J24" s="980"/>
      <c r="K24" s="983"/>
      <c r="L24" s="987"/>
      <c r="M24" s="859" t="s">
        <v>1949</v>
      </c>
      <c r="N24" s="175"/>
      <c r="O24" s="176"/>
      <c r="P24" s="47">
        <v>0.4</v>
      </c>
      <c r="Q24" s="47">
        <v>0.4</v>
      </c>
      <c r="R24" s="885"/>
      <c r="S24" s="48">
        <v>0</v>
      </c>
      <c r="T24" s="888"/>
      <c r="U24" s="49">
        <v>0</v>
      </c>
      <c r="V24" s="888"/>
      <c r="W24" s="49">
        <v>0</v>
      </c>
      <c r="X24" s="888"/>
      <c r="Y24" s="49">
        <v>0</v>
      </c>
      <c r="Z24" s="888"/>
      <c r="AA24" s="49">
        <v>22500000</v>
      </c>
      <c r="AB24" s="888"/>
      <c r="AC24" s="49">
        <v>0</v>
      </c>
      <c r="AD24" s="888"/>
      <c r="AE24" s="49">
        <v>0</v>
      </c>
      <c r="AF24" s="891"/>
      <c r="AG24" s="50">
        <v>0</v>
      </c>
      <c r="AH24" s="891"/>
      <c r="AI24" s="49">
        <v>0</v>
      </c>
      <c r="AJ24" s="882"/>
      <c r="AK24" s="103">
        <f t="shared" si="9"/>
        <v>22500000</v>
      </c>
      <c r="AL24" s="51">
        <v>0</v>
      </c>
      <c r="AM24" s="52">
        <v>3</v>
      </c>
      <c r="AN24" s="52">
        <v>4</v>
      </c>
      <c r="AO24" s="52">
        <v>20</v>
      </c>
      <c r="AP24" s="52">
        <v>53</v>
      </c>
      <c r="AQ24" s="52">
        <v>17</v>
      </c>
      <c r="AR24" s="53">
        <f t="shared" si="7"/>
        <v>97</v>
      </c>
      <c r="AS24" s="54">
        <v>84</v>
      </c>
      <c r="AT24" s="52">
        <v>13</v>
      </c>
      <c r="AU24" s="53">
        <f t="shared" si="8"/>
        <v>97</v>
      </c>
      <c r="AV24" s="54">
        <v>3</v>
      </c>
      <c r="AW24" s="52">
        <v>7</v>
      </c>
      <c r="AX24" s="52">
        <v>1</v>
      </c>
      <c r="AY24" s="52">
        <v>0</v>
      </c>
      <c r="AZ24" s="55">
        <v>1</v>
      </c>
      <c r="BA24" s="56" t="s">
        <v>1961</v>
      </c>
      <c r="BB24" s="56" t="s">
        <v>1958</v>
      </c>
      <c r="BC24" s="57" t="s">
        <v>1960</v>
      </c>
    </row>
    <row r="25" spans="1:55" ht="17.25" customHeight="1" x14ac:dyDescent="0.2">
      <c r="A25" s="957"/>
      <c r="B25" s="959"/>
      <c r="C25" s="962"/>
      <c r="D25" s="965"/>
      <c r="E25" s="972"/>
      <c r="F25" s="968"/>
      <c r="G25" s="990"/>
      <c r="H25" s="974"/>
      <c r="I25" s="979"/>
      <c r="J25" s="980"/>
      <c r="K25" s="983"/>
      <c r="L25" s="987"/>
      <c r="M25" s="174"/>
      <c r="N25" s="175"/>
      <c r="O25" s="176"/>
      <c r="P25" s="47"/>
      <c r="Q25" s="47"/>
      <c r="R25" s="885"/>
      <c r="S25" s="48"/>
      <c r="T25" s="888"/>
      <c r="U25" s="49"/>
      <c r="V25" s="888"/>
      <c r="W25" s="49"/>
      <c r="X25" s="888"/>
      <c r="Y25" s="49"/>
      <c r="Z25" s="888"/>
      <c r="AA25" s="49"/>
      <c r="AB25" s="888"/>
      <c r="AC25" s="49"/>
      <c r="AD25" s="888"/>
      <c r="AE25" s="49"/>
      <c r="AF25" s="891"/>
      <c r="AG25" s="50"/>
      <c r="AH25" s="891"/>
      <c r="AI25" s="49"/>
      <c r="AJ25" s="882"/>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57"/>
      <c r="B26" s="959"/>
      <c r="C26" s="962"/>
      <c r="D26" s="965"/>
      <c r="E26" s="972"/>
      <c r="F26" s="968"/>
      <c r="G26" s="990"/>
      <c r="H26" s="974"/>
      <c r="I26" s="979"/>
      <c r="J26" s="980"/>
      <c r="K26" s="983"/>
      <c r="L26" s="987"/>
      <c r="M26" s="174"/>
      <c r="N26" s="175"/>
      <c r="O26" s="176"/>
      <c r="P26" s="47"/>
      <c r="Q26" s="47"/>
      <c r="R26" s="885"/>
      <c r="S26" s="48"/>
      <c r="T26" s="888"/>
      <c r="U26" s="49"/>
      <c r="V26" s="888"/>
      <c r="W26" s="49"/>
      <c r="X26" s="888"/>
      <c r="Y26" s="49"/>
      <c r="Z26" s="888"/>
      <c r="AA26" s="49"/>
      <c r="AB26" s="888"/>
      <c r="AC26" s="49"/>
      <c r="AD26" s="888"/>
      <c r="AE26" s="49"/>
      <c r="AF26" s="891"/>
      <c r="AG26" s="50"/>
      <c r="AH26" s="891"/>
      <c r="AI26" s="49"/>
      <c r="AJ26" s="882"/>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7"/>
      <c r="B27" s="960"/>
      <c r="C27" s="963"/>
      <c r="D27" s="966"/>
      <c r="E27" s="972"/>
      <c r="F27" s="969"/>
      <c r="G27" s="991"/>
      <c r="H27" s="975"/>
      <c r="I27" s="979"/>
      <c r="J27" s="980"/>
      <c r="K27" s="984"/>
      <c r="L27" s="987"/>
      <c r="M27" s="177"/>
      <c r="N27" s="178"/>
      <c r="O27" s="179"/>
      <c r="P27" s="107"/>
      <c r="Q27" s="107"/>
      <c r="R27" s="885"/>
      <c r="S27" s="108"/>
      <c r="T27" s="888"/>
      <c r="U27" s="109"/>
      <c r="V27" s="888"/>
      <c r="W27" s="109"/>
      <c r="X27" s="888"/>
      <c r="Y27" s="109"/>
      <c r="Z27" s="888"/>
      <c r="AA27" s="109"/>
      <c r="AB27" s="888"/>
      <c r="AC27" s="109"/>
      <c r="AD27" s="888"/>
      <c r="AE27" s="109"/>
      <c r="AF27" s="891"/>
      <c r="AG27" s="110"/>
      <c r="AH27" s="891"/>
      <c r="AI27" s="109"/>
      <c r="AJ27" s="883"/>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58"/>
      <c r="B28" s="961"/>
      <c r="C28" s="964"/>
      <c r="D28" s="967"/>
      <c r="E28" s="973"/>
      <c r="F28" s="970"/>
      <c r="G28" s="992"/>
      <c r="H28" s="976"/>
      <c r="I28" s="981"/>
      <c r="J28" s="982"/>
      <c r="K28" s="985"/>
      <c r="L28" s="988"/>
      <c r="M28" s="180"/>
      <c r="N28" s="181"/>
      <c r="O28" s="182"/>
      <c r="P28" s="117"/>
      <c r="Q28" s="117"/>
      <c r="R28" s="886"/>
      <c r="S28" s="183"/>
      <c r="T28" s="889"/>
      <c r="U28" s="184"/>
      <c r="V28" s="889"/>
      <c r="W28" s="184"/>
      <c r="X28" s="889"/>
      <c r="Y28" s="184"/>
      <c r="Z28" s="889"/>
      <c r="AA28" s="184"/>
      <c r="AB28" s="889"/>
      <c r="AC28" s="184"/>
      <c r="AD28" s="889"/>
      <c r="AE28" s="184"/>
      <c r="AF28" s="892"/>
      <c r="AG28" s="185"/>
      <c r="AH28" s="892"/>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89"/>
      <c r="J29" s="98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6">
        <v>3</v>
      </c>
      <c r="B30" s="161" t="s">
        <v>1705</v>
      </c>
      <c r="C30" s="162" t="s">
        <v>1706</v>
      </c>
      <c r="D30" s="163" t="s">
        <v>21</v>
      </c>
      <c r="E30" s="163" t="s">
        <v>1892</v>
      </c>
      <c r="F30" s="162" t="s">
        <v>1707</v>
      </c>
      <c r="G30" s="164" t="s">
        <v>1679</v>
      </c>
      <c r="H30" s="164" t="s">
        <v>1680</v>
      </c>
      <c r="I30" s="165" t="s">
        <v>1908</v>
      </c>
      <c r="J30" s="166">
        <f>+$N$3</f>
        <v>2019</v>
      </c>
      <c r="K30" s="164" t="s">
        <v>1925</v>
      </c>
      <c r="L30" s="165" t="s">
        <v>1941</v>
      </c>
      <c r="M30" s="162" t="s">
        <v>1708</v>
      </c>
      <c r="N30" s="162" t="s">
        <v>1709</v>
      </c>
      <c r="O30" s="162" t="s">
        <v>1710</v>
      </c>
      <c r="P30" s="162" t="s">
        <v>1951</v>
      </c>
      <c r="Q30" s="162" t="s">
        <v>1942</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250000000</v>
      </c>
      <c r="AA30" s="170">
        <f t="shared" si="10"/>
        <v>249898045</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250000000</v>
      </c>
      <c r="AK30" s="173">
        <f t="shared" si="10"/>
        <v>249898045</v>
      </c>
      <c r="AL30" s="860"/>
      <c r="AM30" s="861"/>
      <c r="AN30" s="861"/>
      <c r="AO30" s="861"/>
      <c r="AP30" s="861"/>
      <c r="AQ30" s="861"/>
      <c r="AR30" s="862"/>
      <c r="AS30" s="863"/>
      <c r="AT30" s="861"/>
      <c r="AU30" s="862"/>
      <c r="AV30" s="863"/>
      <c r="AW30" s="861"/>
      <c r="AX30" s="861"/>
      <c r="AY30" s="861"/>
      <c r="AZ30" s="864"/>
      <c r="BA30" s="44" t="s">
        <v>1685</v>
      </c>
      <c r="BB30" s="44" t="s">
        <v>1944</v>
      </c>
      <c r="BC30" s="45" t="s">
        <v>1687</v>
      </c>
    </row>
    <row r="31" spans="1:55" ht="22.5" customHeight="1" x14ac:dyDescent="0.2">
      <c r="A31" s="957"/>
      <c r="B31" s="959" t="str">
        <f>VLOOKUP($D$9,'PROYECTOS REGISTRADOS'!$A$2:$D$82,4,0)</f>
        <v>Ampliación de programas para atención a la mujer en el Municipio de Tocancipá, Cundinamarca, Centro Oriente</v>
      </c>
      <c r="C31" s="962" t="str">
        <f>VLOOKUP($D$9,'PROYECTOS REGISTRADOS'!$A$2:$D$82,3,0)</f>
        <v>2016-25817-0031</v>
      </c>
      <c r="D31" s="965" t="s">
        <v>765</v>
      </c>
      <c r="E31" s="971" t="str">
        <f>IF(D31=0,"0-0",(VLOOKUP(D31,'CONSOLIDADO PLAN DESARROLLO'!$EL$9:$ET$304,2,0)))</f>
        <v>Mantener el número de eventos sicosociales y culturales dirigidos a la mujer Tocancipeña</v>
      </c>
      <c r="F31" s="968" t="str">
        <f>IF(D31=0,"0-0",(VLOOKUP(D31,'CONSOLIDADO PLAN DESARROLLO'!$EL$9:$ET$304,3,0)))</f>
        <v>Número de eventos mantenidos</v>
      </c>
      <c r="G31" s="990">
        <f>IF(D31=0,"0-0",(VLOOKUP(D31,'CONSOLIDADO PLAN DESARROLLO'!$EL$9:$ET$304,4,0)))</f>
        <v>8</v>
      </c>
      <c r="H31" s="974">
        <f>IF(D31=0,"0-0",(VLOOKUP(D31,'CONSOLIDADO PLAN DESARROLLO'!$EL$9:$ET$304,5,0)))</f>
        <v>8</v>
      </c>
      <c r="I31" s="977">
        <f>IF(D31=0,"0-0",(VLOOKUP(D31,'CONSOLIDADO PLAN DESARROLLO'!$EL$9:$ET$304,$R$3,0)))</f>
        <v>2</v>
      </c>
      <c r="J31" s="978"/>
      <c r="K31" s="983">
        <v>2</v>
      </c>
      <c r="L31" s="986">
        <v>2</v>
      </c>
      <c r="M31" s="801" t="s">
        <v>1934</v>
      </c>
      <c r="N31" s="802" t="s">
        <v>1935</v>
      </c>
      <c r="O31" s="804">
        <v>8</v>
      </c>
      <c r="P31" s="47">
        <v>2</v>
      </c>
      <c r="Q31" s="47">
        <v>2</v>
      </c>
      <c r="R31" s="884">
        <f>VLOOKUP($D31,'[5]Tablero Logro Metas 2019'!$AK$7:$AS$302,3,0)</f>
        <v>0</v>
      </c>
      <c r="S31" s="48">
        <v>0</v>
      </c>
      <c r="T31" s="887">
        <f>VLOOKUP($D31,'[5]Tablero Logro Metas 2019'!$AK$7:$AS$302,4,0)</f>
        <v>0</v>
      </c>
      <c r="U31" s="49">
        <v>0</v>
      </c>
      <c r="V31" s="887">
        <f>VLOOKUP($D31,'[5]Tablero Logro Metas 2019'!$AK$7:$AS$302,5,0)</f>
        <v>0</v>
      </c>
      <c r="W31" s="49">
        <v>0</v>
      </c>
      <c r="X31" s="887">
        <f>VLOOKUP($D31,'[5]Tablero Logro Metas 2019'!$AK$7:$AS$302,6,0)</f>
        <v>0</v>
      </c>
      <c r="Y31" s="49">
        <v>0</v>
      </c>
      <c r="Z31" s="887">
        <f>VLOOKUP($D31,'[5]Tablero Logro Metas 2019'!$AK$7:$AS$302,7,0)</f>
        <v>250000000</v>
      </c>
      <c r="AA31" s="49">
        <v>249898045</v>
      </c>
      <c r="AB31" s="887">
        <f>VLOOKUP($D31,'[5]Tablero Logro Metas 2019'!$AK$7:$AS$302,8,0)</f>
        <v>0</v>
      </c>
      <c r="AC31" s="49">
        <v>0</v>
      </c>
      <c r="AD31" s="887">
        <f>VLOOKUP($D31,'[5]Tablero Logro Metas 2019'!$AK$7:$AS$302,9,0)</f>
        <v>0</v>
      </c>
      <c r="AE31" s="49">
        <v>0</v>
      </c>
      <c r="AF31" s="890">
        <v>0</v>
      </c>
      <c r="AG31" s="50">
        <v>0</v>
      </c>
      <c r="AH31" s="890">
        <v>0</v>
      </c>
      <c r="AI31" s="49">
        <v>0</v>
      </c>
      <c r="AJ31" s="881">
        <f>+R31+T31+V31+X31+Z31+AB31+AD31+AF31+AH31</f>
        <v>250000000</v>
      </c>
      <c r="AK31" s="103">
        <f>AC31+AE31+AG31+S31+U31+W31+Y31+AA31+AI31</f>
        <v>249898045</v>
      </c>
      <c r="AL31" s="51">
        <v>0</v>
      </c>
      <c r="AM31" s="52">
        <v>235</v>
      </c>
      <c r="AN31" s="52">
        <v>354</v>
      </c>
      <c r="AO31" s="52">
        <v>420</v>
      </c>
      <c r="AP31" s="52">
        <v>2150</v>
      </c>
      <c r="AQ31" s="52">
        <v>250</v>
      </c>
      <c r="AR31" s="53">
        <f t="shared" ref="AR31:AR36" si="11">SUM(AL31:AQ31)</f>
        <v>3409</v>
      </c>
      <c r="AS31" s="54">
        <v>3409</v>
      </c>
      <c r="AT31" s="52">
        <v>0</v>
      </c>
      <c r="AU31" s="53">
        <f t="shared" ref="AU31:AU35" si="12">SUM(AS31:AT31)</f>
        <v>3409</v>
      </c>
      <c r="AV31" s="54">
        <v>340</v>
      </c>
      <c r="AW31" s="52">
        <v>0</v>
      </c>
      <c r="AX31" s="52">
        <v>15</v>
      </c>
      <c r="AY31" s="52">
        <v>20</v>
      </c>
      <c r="AZ31" s="55">
        <v>7</v>
      </c>
      <c r="BA31" s="56" t="s">
        <v>1959</v>
      </c>
      <c r="BB31" s="56" t="s">
        <v>1958</v>
      </c>
      <c r="BC31" s="57" t="s">
        <v>1960</v>
      </c>
    </row>
    <row r="32" spans="1:55" ht="17.25" customHeight="1" x14ac:dyDescent="0.2">
      <c r="A32" s="957"/>
      <c r="B32" s="959"/>
      <c r="C32" s="962"/>
      <c r="D32" s="965"/>
      <c r="E32" s="972"/>
      <c r="F32" s="968"/>
      <c r="G32" s="990"/>
      <c r="H32" s="974"/>
      <c r="I32" s="979"/>
      <c r="J32" s="980"/>
      <c r="K32" s="983"/>
      <c r="L32" s="987"/>
      <c r="M32" s="174"/>
      <c r="N32" s="175"/>
      <c r="O32" s="176"/>
      <c r="P32" s="47"/>
      <c r="Q32" s="47"/>
      <c r="R32" s="885"/>
      <c r="S32" s="48"/>
      <c r="T32" s="888"/>
      <c r="U32" s="49"/>
      <c r="V32" s="888"/>
      <c r="W32" s="49"/>
      <c r="X32" s="888"/>
      <c r="Y32" s="49"/>
      <c r="Z32" s="888"/>
      <c r="AA32" s="49"/>
      <c r="AB32" s="888"/>
      <c r="AC32" s="49"/>
      <c r="AD32" s="888"/>
      <c r="AE32" s="49"/>
      <c r="AF32" s="891"/>
      <c r="AG32" s="50"/>
      <c r="AH32" s="891"/>
      <c r="AI32" s="49"/>
      <c r="AJ32" s="882"/>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57"/>
      <c r="B33" s="959"/>
      <c r="C33" s="962"/>
      <c r="D33" s="965"/>
      <c r="E33" s="972"/>
      <c r="F33" s="968"/>
      <c r="G33" s="990"/>
      <c r="H33" s="974"/>
      <c r="I33" s="979"/>
      <c r="J33" s="980"/>
      <c r="K33" s="983"/>
      <c r="L33" s="987"/>
      <c r="M33" s="174"/>
      <c r="N33" s="175"/>
      <c r="O33" s="176"/>
      <c r="P33" s="47"/>
      <c r="Q33" s="47"/>
      <c r="R33" s="885"/>
      <c r="S33" s="48"/>
      <c r="T33" s="888"/>
      <c r="U33" s="49"/>
      <c r="V33" s="888"/>
      <c r="W33" s="49"/>
      <c r="X33" s="888"/>
      <c r="Y33" s="49"/>
      <c r="Z33" s="888"/>
      <c r="AA33" s="49"/>
      <c r="AB33" s="888"/>
      <c r="AC33" s="49"/>
      <c r="AD33" s="888"/>
      <c r="AE33" s="49"/>
      <c r="AF33" s="891"/>
      <c r="AG33" s="50"/>
      <c r="AH33" s="891"/>
      <c r="AI33" s="49"/>
      <c r="AJ33" s="882"/>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57"/>
      <c r="B34" s="959"/>
      <c r="C34" s="962"/>
      <c r="D34" s="965"/>
      <c r="E34" s="972"/>
      <c r="F34" s="968"/>
      <c r="G34" s="990"/>
      <c r="H34" s="974"/>
      <c r="I34" s="979"/>
      <c r="J34" s="980"/>
      <c r="K34" s="983"/>
      <c r="L34" s="987"/>
      <c r="M34" s="174"/>
      <c r="N34" s="175"/>
      <c r="O34" s="176"/>
      <c r="P34" s="47"/>
      <c r="Q34" s="47"/>
      <c r="R34" s="885"/>
      <c r="S34" s="48"/>
      <c r="T34" s="888"/>
      <c r="U34" s="49"/>
      <c r="V34" s="888"/>
      <c r="W34" s="49"/>
      <c r="X34" s="888"/>
      <c r="Y34" s="49"/>
      <c r="Z34" s="888"/>
      <c r="AA34" s="49"/>
      <c r="AB34" s="888"/>
      <c r="AC34" s="49"/>
      <c r="AD34" s="888"/>
      <c r="AE34" s="49"/>
      <c r="AF34" s="891"/>
      <c r="AG34" s="50"/>
      <c r="AH34" s="891"/>
      <c r="AI34" s="49"/>
      <c r="AJ34" s="882"/>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57"/>
      <c r="B35" s="959"/>
      <c r="C35" s="962"/>
      <c r="D35" s="965"/>
      <c r="E35" s="972"/>
      <c r="F35" s="968"/>
      <c r="G35" s="990"/>
      <c r="H35" s="974"/>
      <c r="I35" s="979"/>
      <c r="J35" s="980"/>
      <c r="K35" s="983"/>
      <c r="L35" s="987"/>
      <c r="M35" s="174"/>
      <c r="N35" s="175"/>
      <c r="O35" s="176"/>
      <c r="P35" s="47"/>
      <c r="Q35" s="47"/>
      <c r="R35" s="885"/>
      <c r="S35" s="48"/>
      <c r="T35" s="888"/>
      <c r="U35" s="49"/>
      <c r="V35" s="888"/>
      <c r="W35" s="49"/>
      <c r="X35" s="888"/>
      <c r="Y35" s="49"/>
      <c r="Z35" s="888"/>
      <c r="AA35" s="49"/>
      <c r="AB35" s="888"/>
      <c r="AC35" s="49"/>
      <c r="AD35" s="888"/>
      <c r="AE35" s="49"/>
      <c r="AF35" s="891"/>
      <c r="AG35" s="50"/>
      <c r="AH35" s="891"/>
      <c r="AI35" s="49"/>
      <c r="AJ35" s="882"/>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7"/>
      <c r="B36" s="960"/>
      <c r="C36" s="963"/>
      <c r="D36" s="966"/>
      <c r="E36" s="972"/>
      <c r="F36" s="969"/>
      <c r="G36" s="991"/>
      <c r="H36" s="975"/>
      <c r="I36" s="979"/>
      <c r="J36" s="980"/>
      <c r="K36" s="984"/>
      <c r="L36" s="987"/>
      <c r="M36" s="177"/>
      <c r="N36" s="178"/>
      <c r="O36" s="179"/>
      <c r="P36" s="107"/>
      <c r="Q36" s="107"/>
      <c r="R36" s="885"/>
      <c r="S36" s="108"/>
      <c r="T36" s="888"/>
      <c r="U36" s="109"/>
      <c r="V36" s="888"/>
      <c r="W36" s="109"/>
      <c r="X36" s="888"/>
      <c r="Y36" s="109"/>
      <c r="Z36" s="888"/>
      <c r="AA36" s="109"/>
      <c r="AB36" s="888"/>
      <c r="AC36" s="109"/>
      <c r="AD36" s="888"/>
      <c r="AE36" s="109"/>
      <c r="AF36" s="891"/>
      <c r="AG36" s="110"/>
      <c r="AH36" s="891"/>
      <c r="AI36" s="109"/>
      <c r="AJ36" s="883"/>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58"/>
      <c r="B37" s="961"/>
      <c r="C37" s="964"/>
      <c r="D37" s="967"/>
      <c r="E37" s="973"/>
      <c r="F37" s="970"/>
      <c r="G37" s="992"/>
      <c r="H37" s="976"/>
      <c r="I37" s="981"/>
      <c r="J37" s="982"/>
      <c r="K37" s="985"/>
      <c r="L37" s="988"/>
      <c r="M37" s="180"/>
      <c r="N37" s="181"/>
      <c r="O37" s="182"/>
      <c r="P37" s="117"/>
      <c r="Q37" s="117"/>
      <c r="R37" s="886"/>
      <c r="S37" s="183"/>
      <c r="T37" s="889"/>
      <c r="U37" s="184"/>
      <c r="V37" s="889"/>
      <c r="W37" s="184"/>
      <c r="X37" s="889"/>
      <c r="Y37" s="184"/>
      <c r="Z37" s="889"/>
      <c r="AA37" s="184"/>
      <c r="AB37" s="889"/>
      <c r="AC37" s="184"/>
      <c r="AD37" s="889"/>
      <c r="AE37" s="184"/>
      <c r="AF37" s="892"/>
      <c r="AG37" s="185"/>
      <c r="AH37" s="892"/>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9"/>
      <c r="J38" s="98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6">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5"/>
      <c r="AI39" s="855"/>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1685</v>
      </c>
      <c r="BB39" s="44" t="s">
        <v>1686</v>
      </c>
      <c r="BC39" s="45" t="s">
        <v>1687</v>
      </c>
    </row>
    <row r="40" spans="1:55" ht="17.25" hidden="1" customHeight="1" x14ac:dyDescent="0.2">
      <c r="A40" s="957"/>
      <c r="B40" s="959" t="str">
        <f>VLOOKUP($D$9,'PROYECTOS REGISTRADOS'!$A$2:$D$82,4,0)</f>
        <v>Ampliación de programas para atención a la mujer en el Municipio de Tocancipá, Cundinamarca, Centro Oriente</v>
      </c>
      <c r="C40" s="962" t="str">
        <f>VLOOKUP($D$9,'PROYECTOS REGISTRADOS'!$A$2:$D$82,3,0)</f>
        <v>2016-25817-0031</v>
      </c>
      <c r="D40" s="1005"/>
      <c r="E40" s="971" t="str">
        <f>IF(D40=0,"0-0",(VLOOKUP(D40,#REF!,2,0)))</f>
        <v>0-0</v>
      </c>
      <c r="F40" s="968" t="str">
        <f>IF(D40=0,"0-0",(VLOOKUP(D40,#REF!,3,0)))</f>
        <v>0-0</v>
      </c>
      <c r="G40" s="990" t="str">
        <f>IF(D40=0,"0-0",(VLOOKUP(D40,#REF!,4,0)))</f>
        <v>0-0</v>
      </c>
      <c r="H40" s="974" t="str">
        <f>IF(D40=0,"0-0",(VLOOKUP(D40,#REF!,5,0)))</f>
        <v>0-0</v>
      </c>
      <c r="I40" s="977" t="str">
        <f>IF(D40=0,"0-0",(VLOOKUP(D40,#REF!,$R$3,0)))</f>
        <v>0-0</v>
      </c>
      <c r="J40" s="978"/>
      <c r="K40" s="1008"/>
      <c r="L40" s="986"/>
      <c r="M40" s="174"/>
      <c r="N40" s="175"/>
      <c r="O40" s="176"/>
      <c r="P40" s="46"/>
      <c r="Q40" s="47"/>
      <c r="R40" s="1011"/>
      <c r="S40" s="48"/>
      <c r="T40" s="890"/>
      <c r="U40" s="49"/>
      <c r="V40" s="890"/>
      <c r="W40" s="49"/>
      <c r="X40" s="890"/>
      <c r="Y40" s="49"/>
      <c r="Z40" s="890"/>
      <c r="AA40" s="49"/>
      <c r="AB40" s="890"/>
      <c r="AC40" s="49"/>
      <c r="AD40" s="890"/>
      <c r="AE40" s="49"/>
      <c r="AF40" s="890"/>
      <c r="AG40" s="50"/>
      <c r="AH40" s="856"/>
      <c r="AI40" s="856"/>
      <c r="AJ40" s="881">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57"/>
      <c r="B41" s="959"/>
      <c r="C41" s="962"/>
      <c r="D41" s="1005"/>
      <c r="E41" s="972"/>
      <c r="F41" s="968"/>
      <c r="G41" s="990"/>
      <c r="H41" s="974"/>
      <c r="I41" s="979"/>
      <c r="J41" s="980"/>
      <c r="K41" s="1008"/>
      <c r="L41" s="987"/>
      <c r="M41" s="174"/>
      <c r="N41" s="175"/>
      <c r="O41" s="176"/>
      <c r="P41" s="46"/>
      <c r="Q41" s="47"/>
      <c r="R41" s="1012"/>
      <c r="S41" s="48"/>
      <c r="T41" s="891"/>
      <c r="U41" s="49"/>
      <c r="V41" s="891"/>
      <c r="W41" s="49"/>
      <c r="X41" s="891"/>
      <c r="Y41" s="49"/>
      <c r="Z41" s="891"/>
      <c r="AA41" s="49"/>
      <c r="AB41" s="891"/>
      <c r="AC41" s="49"/>
      <c r="AD41" s="891"/>
      <c r="AE41" s="49"/>
      <c r="AF41" s="891"/>
      <c r="AG41" s="50"/>
      <c r="AH41" s="857"/>
      <c r="AI41" s="857"/>
      <c r="AJ41" s="882"/>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57"/>
      <c r="B42" s="959"/>
      <c r="C42" s="962"/>
      <c r="D42" s="1005"/>
      <c r="E42" s="972"/>
      <c r="F42" s="968"/>
      <c r="G42" s="990"/>
      <c r="H42" s="974"/>
      <c r="I42" s="979"/>
      <c r="J42" s="980"/>
      <c r="K42" s="1008"/>
      <c r="L42" s="987"/>
      <c r="M42" s="174"/>
      <c r="N42" s="175"/>
      <c r="O42" s="176"/>
      <c r="P42" s="46"/>
      <c r="Q42" s="47"/>
      <c r="R42" s="1012"/>
      <c r="S42" s="48"/>
      <c r="T42" s="891"/>
      <c r="U42" s="49"/>
      <c r="V42" s="891"/>
      <c r="W42" s="49"/>
      <c r="X42" s="891"/>
      <c r="Y42" s="49"/>
      <c r="Z42" s="891"/>
      <c r="AA42" s="49"/>
      <c r="AB42" s="891"/>
      <c r="AC42" s="49"/>
      <c r="AD42" s="891"/>
      <c r="AE42" s="49"/>
      <c r="AF42" s="891"/>
      <c r="AG42" s="50"/>
      <c r="AH42" s="857"/>
      <c r="AI42" s="857"/>
      <c r="AJ42" s="882"/>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57"/>
      <c r="B43" s="959"/>
      <c r="C43" s="962"/>
      <c r="D43" s="1005"/>
      <c r="E43" s="972"/>
      <c r="F43" s="968"/>
      <c r="G43" s="990"/>
      <c r="H43" s="974"/>
      <c r="I43" s="979"/>
      <c r="J43" s="980"/>
      <c r="K43" s="1008"/>
      <c r="L43" s="987"/>
      <c r="M43" s="174"/>
      <c r="N43" s="175"/>
      <c r="O43" s="176"/>
      <c r="P43" s="46"/>
      <c r="Q43" s="47"/>
      <c r="R43" s="1012"/>
      <c r="S43" s="48"/>
      <c r="T43" s="891"/>
      <c r="U43" s="49"/>
      <c r="V43" s="891"/>
      <c r="W43" s="49"/>
      <c r="X43" s="891"/>
      <c r="Y43" s="49"/>
      <c r="Z43" s="891"/>
      <c r="AA43" s="49"/>
      <c r="AB43" s="891"/>
      <c r="AC43" s="49"/>
      <c r="AD43" s="891"/>
      <c r="AE43" s="49"/>
      <c r="AF43" s="891"/>
      <c r="AG43" s="50"/>
      <c r="AH43" s="857"/>
      <c r="AI43" s="857"/>
      <c r="AJ43" s="882"/>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57"/>
      <c r="B44" s="959"/>
      <c r="C44" s="962"/>
      <c r="D44" s="1005"/>
      <c r="E44" s="972"/>
      <c r="F44" s="968"/>
      <c r="G44" s="990"/>
      <c r="H44" s="974"/>
      <c r="I44" s="979"/>
      <c r="J44" s="980"/>
      <c r="K44" s="1008"/>
      <c r="L44" s="987"/>
      <c r="M44" s="174"/>
      <c r="N44" s="175"/>
      <c r="O44" s="176"/>
      <c r="P44" s="46"/>
      <c r="Q44" s="47"/>
      <c r="R44" s="1012"/>
      <c r="S44" s="48"/>
      <c r="T44" s="891"/>
      <c r="U44" s="49"/>
      <c r="V44" s="891"/>
      <c r="W44" s="49"/>
      <c r="X44" s="891"/>
      <c r="Y44" s="49"/>
      <c r="Z44" s="891"/>
      <c r="AA44" s="49"/>
      <c r="AB44" s="891"/>
      <c r="AC44" s="49"/>
      <c r="AD44" s="891"/>
      <c r="AE44" s="49"/>
      <c r="AF44" s="891"/>
      <c r="AG44" s="50"/>
      <c r="AH44" s="857"/>
      <c r="AI44" s="857"/>
      <c r="AJ44" s="882"/>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57"/>
      <c r="B45" s="960"/>
      <c r="C45" s="963"/>
      <c r="D45" s="1006"/>
      <c r="E45" s="972"/>
      <c r="F45" s="969"/>
      <c r="G45" s="991"/>
      <c r="H45" s="975"/>
      <c r="I45" s="979"/>
      <c r="J45" s="980"/>
      <c r="K45" s="1009"/>
      <c r="L45" s="987"/>
      <c r="M45" s="177"/>
      <c r="N45" s="178"/>
      <c r="O45" s="179"/>
      <c r="P45" s="106"/>
      <c r="Q45" s="107"/>
      <c r="R45" s="1012"/>
      <c r="S45" s="108"/>
      <c r="T45" s="891"/>
      <c r="U45" s="109"/>
      <c r="V45" s="891"/>
      <c r="W45" s="109"/>
      <c r="X45" s="891"/>
      <c r="Y45" s="109"/>
      <c r="Z45" s="891"/>
      <c r="AA45" s="109"/>
      <c r="AB45" s="891"/>
      <c r="AC45" s="109"/>
      <c r="AD45" s="891"/>
      <c r="AE45" s="109"/>
      <c r="AF45" s="891"/>
      <c r="AG45" s="110"/>
      <c r="AH45" s="857"/>
      <c r="AI45" s="857"/>
      <c r="AJ45" s="883"/>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958"/>
      <c r="B46" s="961"/>
      <c r="C46" s="964"/>
      <c r="D46" s="1007"/>
      <c r="E46" s="973"/>
      <c r="F46" s="970"/>
      <c r="G46" s="992"/>
      <c r="H46" s="976"/>
      <c r="I46" s="981"/>
      <c r="J46" s="982"/>
      <c r="K46" s="1010"/>
      <c r="L46" s="988"/>
      <c r="M46" s="180"/>
      <c r="N46" s="181"/>
      <c r="O46" s="182"/>
      <c r="P46" s="117"/>
      <c r="Q46" s="117"/>
      <c r="R46" s="1013"/>
      <c r="S46" s="183"/>
      <c r="T46" s="892"/>
      <c r="U46" s="184"/>
      <c r="V46" s="892"/>
      <c r="W46" s="184"/>
      <c r="X46" s="892"/>
      <c r="Y46" s="184"/>
      <c r="Z46" s="892"/>
      <c r="AA46" s="184"/>
      <c r="AB46" s="892"/>
      <c r="AC46" s="184"/>
      <c r="AD46" s="892"/>
      <c r="AE46" s="184"/>
      <c r="AF46" s="892"/>
      <c r="AG46" s="185"/>
      <c r="AH46" s="858"/>
      <c r="AI46" s="858"/>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89"/>
      <c r="J47" s="98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6">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5"/>
      <c r="AI48" s="855"/>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1685</v>
      </c>
      <c r="BB48" s="44" t="s">
        <v>1686</v>
      </c>
      <c r="BC48" s="45" t="s">
        <v>1687</v>
      </c>
    </row>
    <row r="49" spans="1:55" ht="17.25" hidden="1" customHeight="1" x14ac:dyDescent="0.2">
      <c r="A49" s="957"/>
      <c r="B49" s="959" t="str">
        <f>VLOOKUP($D$9,'PROYECTOS REGISTRADOS'!$A$2:$D$82,4,0)</f>
        <v>Ampliación de programas para atención a la mujer en el Municipio de Tocancipá, Cundinamarca, Centro Oriente</v>
      </c>
      <c r="C49" s="962" t="str">
        <f>VLOOKUP($D$9,'PROYECTOS REGISTRADOS'!$A$2:$D$82,3,0)</f>
        <v>2016-25817-0031</v>
      </c>
      <c r="D49" s="1005"/>
      <c r="E49" s="971" t="str">
        <f>IF(D49=0,"0-0",(VLOOKUP(D49,#REF!,2,0)))</f>
        <v>0-0</v>
      </c>
      <c r="F49" s="968" t="str">
        <f>IF(D49=0,"0-0",(VLOOKUP(D49,#REF!,3,0)))</f>
        <v>0-0</v>
      </c>
      <c r="G49" s="990" t="str">
        <f>IF(D49=0,"0-0",(VLOOKUP(D49,#REF!,4,0)))</f>
        <v>0-0</v>
      </c>
      <c r="H49" s="974" t="str">
        <f>IF(D49=0,"0-0",(VLOOKUP(D49,#REF!,5,0)))</f>
        <v>0-0</v>
      </c>
      <c r="I49" s="977" t="str">
        <f>IF(D49=0,"0-0",(VLOOKUP(D49,#REF!,$R$3,0)))</f>
        <v>0-0</v>
      </c>
      <c r="J49" s="978"/>
      <c r="K49" s="1008"/>
      <c r="L49" s="986"/>
      <c r="M49" s="174"/>
      <c r="N49" s="175"/>
      <c r="O49" s="176"/>
      <c r="P49" s="46"/>
      <c r="Q49" s="47"/>
      <c r="R49" s="1011"/>
      <c r="S49" s="48"/>
      <c r="T49" s="890"/>
      <c r="U49" s="49"/>
      <c r="V49" s="890"/>
      <c r="W49" s="49"/>
      <c r="X49" s="890"/>
      <c r="Y49" s="49"/>
      <c r="Z49" s="890"/>
      <c r="AA49" s="49"/>
      <c r="AB49" s="890"/>
      <c r="AC49" s="49"/>
      <c r="AD49" s="890"/>
      <c r="AE49" s="49"/>
      <c r="AF49" s="890"/>
      <c r="AG49" s="50"/>
      <c r="AH49" s="856"/>
      <c r="AI49" s="856"/>
      <c r="AJ49" s="881">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57"/>
      <c r="B50" s="959"/>
      <c r="C50" s="962"/>
      <c r="D50" s="1005"/>
      <c r="E50" s="972"/>
      <c r="F50" s="968"/>
      <c r="G50" s="990"/>
      <c r="H50" s="974"/>
      <c r="I50" s="979"/>
      <c r="J50" s="980"/>
      <c r="K50" s="1008"/>
      <c r="L50" s="987"/>
      <c r="M50" s="174"/>
      <c r="N50" s="175"/>
      <c r="O50" s="176"/>
      <c r="P50" s="46"/>
      <c r="Q50" s="47"/>
      <c r="R50" s="1012"/>
      <c r="S50" s="48"/>
      <c r="T50" s="891"/>
      <c r="U50" s="49"/>
      <c r="V50" s="891"/>
      <c r="W50" s="49"/>
      <c r="X50" s="891"/>
      <c r="Y50" s="49"/>
      <c r="Z50" s="891"/>
      <c r="AA50" s="49"/>
      <c r="AB50" s="891"/>
      <c r="AC50" s="49"/>
      <c r="AD50" s="891"/>
      <c r="AE50" s="49"/>
      <c r="AF50" s="891"/>
      <c r="AG50" s="50"/>
      <c r="AH50" s="857"/>
      <c r="AI50" s="857"/>
      <c r="AJ50" s="882"/>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57"/>
      <c r="B51" s="959"/>
      <c r="C51" s="962"/>
      <c r="D51" s="1005"/>
      <c r="E51" s="972"/>
      <c r="F51" s="968"/>
      <c r="G51" s="990"/>
      <c r="H51" s="974"/>
      <c r="I51" s="979"/>
      <c r="J51" s="980"/>
      <c r="K51" s="1008"/>
      <c r="L51" s="987"/>
      <c r="M51" s="174"/>
      <c r="N51" s="175"/>
      <c r="O51" s="176"/>
      <c r="P51" s="46"/>
      <c r="Q51" s="47"/>
      <c r="R51" s="1012"/>
      <c r="S51" s="48"/>
      <c r="T51" s="891"/>
      <c r="U51" s="49"/>
      <c r="V51" s="891"/>
      <c r="W51" s="49"/>
      <c r="X51" s="891"/>
      <c r="Y51" s="49"/>
      <c r="Z51" s="891"/>
      <c r="AA51" s="49"/>
      <c r="AB51" s="891"/>
      <c r="AC51" s="49"/>
      <c r="AD51" s="891"/>
      <c r="AE51" s="49"/>
      <c r="AF51" s="891"/>
      <c r="AG51" s="50"/>
      <c r="AH51" s="857"/>
      <c r="AI51" s="857"/>
      <c r="AJ51" s="882"/>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57"/>
      <c r="B52" s="959"/>
      <c r="C52" s="962"/>
      <c r="D52" s="1005"/>
      <c r="E52" s="972"/>
      <c r="F52" s="968"/>
      <c r="G52" s="990"/>
      <c r="H52" s="974"/>
      <c r="I52" s="979"/>
      <c r="J52" s="980"/>
      <c r="K52" s="1008"/>
      <c r="L52" s="987"/>
      <c r="M52" s="174"/>
      <c r="N52" s="175"/>
      <c r="O52" s="176"/>
      <c r="P52" s="46"/>
      <c r="Q52" s="47"/>
      <c r="R52" s="1012"/>
      <c r="S52" s="48"/>
      <c r="T52" s="891"/>
      <c r="U52" s="49"/>
      <c r="V52" s="891"/>
      <c r="W52" s="49"/>
      <c r="X52" s="891"/>
      <c r="Y52" s="49"/>
      <c r="Z52" s="891"/>
      <c r="AA52" s="49"/>
      <c r="AB52" s="891"/>
      <c r="AC52" s="49"/>
      <c r="AD52" s="891"/>
      <c r="AE52" s="49"/>
      <c r="AF52" s="891"/>
      <c r="AG52" s="50"/>
      <c r="AH52" s="857"/>
      <c r="AI52" s="857"/>
      <c r="AJ52" s="882"/>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57"/>
      <c r="B53" s="959"/>
      <c r="C53" s="962"/>
      <c r="D53" s="1005"/>
      <c r="E53" s="972"/>
      <c r="F53" s="968"/>
      <c r="G53" s="990"/>
      <c r="H53" s="974"/>
      <c r="I53" s="979"/>
      <c r="J53" s="980"/>
      <c r="K53" s="1008"/>
      <c r="L53" s="987"/>
      <c r="M53" s="174"/>
      <c r="N53" s="175"/>
      <c r="O53" s="176"/>
      <c r="P53" s="46"/>
      <c r="Q53" s="47"/>
      <c r="R53" s="1012"/>
      <c r="S53" s="48"/>
      <c r="T53" s="891"/>
      <c r="U53" s="49"/>
      <c r="V53" s="891"/>
      <c r="W53" s="49"/>
      <c r="X53" s="891"/>
      <c r="Y53" s="49"/>
      <c r="Z53" s="891"/>
      <c r="AA53" s="49"/>
      <c r="AB53" s="891"/>
      <c r="AC53" s="49"/>
      <c r="AD53" s="891"/>
      <c r="AE53" s="49"/>
      <c r="AF53" s="891"/>
      <c r="AG53" s="50"/>
      <c r="AH53" s="857"/>
      <c r="AI53" s="857"/>
      <c r="AJ53" s="882"/>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57"/>
      <c r="B54" s="960"/>
      <c r="C54" s="963"/>
      <c r="D54" s="1006"/>
      <c r="E54" s="972"/>
      <c r="F54" s="969"/>
      <c r="G54" s="991"/>
      <c r="H54" s="975"/>
      <c r="I54" s="979"/>
      <c r="J54" s="980"/>
      <c r="K54" s="1009"/>
      <c r="L54" s="987"/>
      <c r="M54" s="177"/>
      <c r="N54" s="178"/>
      <c r="O54" s="179"/>
      <c r="P54" s="106"/>
      <c r="Q54" s="107"/>
      <c r="R54" s="1012"/>
      <c r="S54" s="108"/>
      <c r="T54" s="891"/>
      <c r="U54" s="109"/>
      <c r="V54" s="891"/>
      <c r="W54" s="109"/>
      <c r="X54" s="891"/>
      <c r="Y54" s="109"/>
      <c r="Z54" s="891"/>
      <c r="AA54" s="109"/>
      <c r="AB54" s="891"/>
      <c r="AC54" s="109"/>
      <c r="AD54" s="891"/>
      <c r="AE54" s="109"/>
      <c r="AF54" s="891"/>
      <c r="AG54" s="110"/>
      <c r="AH54" s="857"/>
      <c r="AI54" s="857"/>
      <c r="AJ54" s="883"/>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958"/>
      <c r="B55" s="961"/>
      <c r="C55" s="964"/>
      <c r="D55" s="1007"/>
      <c r="E55" s="973"/>
      <c r="F55" s="970"/>
      <c r="G55" s="992"/>
      <c r="H55" s="976"/>
      <c r="I55" s="981"/>
      <c r="J55" s="982"/>
      <c r="K55" s="1010"/>
      <c r="L55" s="988"/>
      <c r="M55" s="180"/>
      <c r="N55" s="181"/>
      <c r="O55" s="182"/>
      <c r="P55" s="117"/>
      <c r="Q55" s="117"/>
      <c r="R55" s="1013"/>
      <c r="S55" s="183"/>
      <c r="T55" s="892"/>
      <c r="U55" s="184"/>
      <c r="V55" s="892"/>
      <c r="W55" s="184"/>
      <c r="X55" s="892"/>
      <c r="Y55" s="184"/>
      <c r="Z55" s="892"/>
      <c r="AA55" s="184"/>
      <c r="AB55" s="892"/>
      <c r="AC55" s="184"/>
      <c r="AD55" s="892"/>
      <c r="AE55" s="184"/>
      <c r="AF55" s="892"/>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89"/>
      <c r="J56" s="98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6">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5"/>
      <c r="AI57" s="855"/>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1685</v>
      </c>
      <c r="BB57" s="44" t="s">
        <v>1686</v>
      </c>
      <c r="BC57" s="45" t="s">
        <v>1687</v>
      </c>
    </row>
    <row r="58" spans="1:55" ht="17.25" hidden="1" customHeight="1" x14ac:dyDescent="0.2">
      <c r="A58" s="957"/>
      <c r="B58" s="959" t="str">
        <f>VLOOKUP($D$9,'PROYECTOS REGISTRADOS'!$A$2:$D$82,4,0)</f>
        <v>Ampliación de programas para atención a la mujer en el Municipio de Tocancipá, Cundinamarca, Centro Oriente</v>
      </c>
      <c r="C58" s="962" t="str">
        <f>VLOOKUP($D$9,'PROYECTOS REGISTRADOS'!$A$2:$D$82,3,0)</f>
        <v>2016-25817-0031</v>
      </c>
      <c r="D58" s="1005"/>
      <c r="E58" s="971" t="str">
        <f>IF(D58=0,"0-0",(VLOOKUP(D58,#REF!,2,0)))</f>
        <v>0-0</v>
      </c>
      <c r="F58" s="968" t="str">
        <f>IF(D58=0,"0-0",(VLOOKUP(D58,#REF!,3,0)))</f>
        <v>0-0</v>
      </c>
      <c r="G58" s="990" t="str">
        <f>IF(D58=0,"0-0",(VLOOKUP(D58,#REF!,4,0)))</f>
        <v>0-0</v>
      </c>
      <c r="H58" s="974" t="str">
        <f>IF(D58=0,"0-0",(VLOOKUP(D58,#REF!,5,0)))</f>
        <v>0-0</v>
      </c>
      <c r="I58" s="977" t="str">
        <f>IF(D58=0,"0-0",(VLOOKUP(D58,#REF!,$R$3,0)))</f>
        <v>0-0</v>
      </c>
      <c r="J58" s="978"/>
      <c r="K58" s="1008"/>
      <c r="L58" s="986"/>
      <c r="M58" s="174"/>
      <c r="N58" s="175"/>
      <c r="O58" s="176"/>
      <c r="P58" s="46"/>
      <c r="Q58" s="47"/>
      <c r="R58" s="1011"/>
      <c r="S58" s="48"/>
      <c r="T58" s="890"/>
      <c r="U58" s="49"/>
      <c r="V58" s="890"/>
      <c r="W58" s="49"/>
      <c r="X58" s="890"/>
      <c r="Y58" s="49"/>
      <c r="Z58" s="890"/>
      <c r="AA58" s="49"/>
      <c r="AB58" s="890"/>
      <c r="AC58" s="49"/>
      <c r="AD58" s="890"/>
      <c r="AE58" s="49"/>
      <c r="AF58" s="890"/>
      <c r="AG58" s="50"/>
      <c r="AH58" s="856"/>
      <c r="AI58" s="856"/>
      <c r="AJ58" s="881">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57"/>
      <c r="B59" s="959"/>
      <c r="C59" s="962"/>
      <c r="D59" s="1005"/>
      <c r="E59" s="972"/>
      <c r="F59" s="968"/>
      <c r="G59" s="990"/>
      <c r="H59" s="974"/>
      <c r="I59" s="979"/>
      <c r="J59" s="980"/>
      <c r="K59" s="1008"/>
      <c r="L59" s="987"/>
      <c r="M59" s="174"/>
      <c r="N59" s="175"/>
      <c r="O59" s="176"/>
      <c r="P59" s="46"/>
      <c r="Q59" s="47"/>
      <c r="R59" s="1012"/>
      <c r="S59" s="48"/>
      <c r="T59" s="891"/>
      <c r="U59" s="49"/>
      <c r="V59" s="891"/>
      <c r="W59" s="49"/>
      <c r="X59" s="891"/>
      <c r="Y59" s="49"/>
      <c r="Z59" s="891"/>
      <c r="AA59" s="49"/>
      <c r="AB59" s="891"/>
      <c r="AC59" s="49"/>
      <c r="AD59" s="891"/>
      <c r="AE59" s="49"/>
      <c r="AF59" s="891"/>
      <c r="AG59" s="50"/>
      <c r="AH59" s="857"/>
      <c r="AI59" s="857"/>
      <c r="AJ59" s="882"/>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57"/>
      <c r="B60" s="959"/>
      <c r="C60" s="962"/>
      <c r="D60" s="1005"/>
      <c r="E60" s="972"/>
      <c r="F60" s="968"/>
      <c r="G60" s="990"/>
      <c r="H60" s="974"/>
      <c r="I60" s="979"/>
      <c r="J60" s="980"/>
      <c r="K60" s="1008"/>
      <c r="L60" s="987"/>
      <c r="M60" s="174"/>
      <c r="N60" s="175"/>
      <c r="O60" s="176"/>
      <c r="P60" s="46"/>
      <c r="Q60" s="47"/>
      <c r="R60" s="1012"/>
      <c r="S60" s="48"/>
      <c r="T60" s="891"/>
      <c r="U60" s="49"/>
      <c r="V60" s="891"/>
      <c r="W60" s="49"/>
      <c r="X60" s="891"/>
      <c r="Y60" s="49"/>
      <c r="Z60" s="891"/>
      <c r="AA60" s="49"/>
      <c r="AB60" s="891"/>
      <c r="AC60" s="49"/>
      <c r="AD60" s="891"/>
      <c r="AE60" s="49"/>
      <c r="AF60" s="891"/>
      <c r="AG60" s="50"/>
      <c r="AH60" s="857"/>
      <c r="AI60" s="857"/>
      <c r="AJ60" s="882"/>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57"/>
      <c r="B61" s="959"/>
      <c r="C61" s="962"/>
      <c r="D61" s="1005"/>
      <c r="E61" s="972"/>
      <c r="F61" s="968"/>
      <c r="G61" s="990"/>
      <c r="H61" s="974"/>
      <c r="I61" s="979"/>
      <c r="J61" s="980"/>
      <c r="K61" s="1008"/>
      <c r="L61" s="987"/>
      <c r="M61" s="174"/>
      <c r="N61" s="175"/>
      <c r="O61" s="176"/>
      <c r="P61" s="46"/>
      <c r="Q61" s="47"/>
      <c r="R61" s="1012"/>
      <c r="S61" s="48"/>
      <c r="T61" s="891"/>
      <c r="U61" s="49"/>
      <c r="V61" s="891"/>
      <c r="W61" s="49"/>
      <c r="X61" s="891"/>
      <c r="Y61" s="49"/>
      <c r="Z61" s="891"/>
      <c r="AA61" s="49"/>
      <c r="AB61" s="891"/>
      <c r="AC61" s="49"/>
      <c r="AD61" s="891"/>
      <c r="AE61" s="49"/>
      <c r="AF61" s="891"/>
      <c r="AG61" s="50"/>
      <c r="AH61" s="857"/>
      <c r="AI61" s="857"/>
      <c r="AJ61" s="882"/>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57"/>
      <c r="B62" s="959"/>
      <c r="C62" s="962"/>
      <c r="D62" s="1005"/>
      <c r="E62" s="972"/>
      <c r="F62" s="968"/>
      <c r="G62" s="990"/>
      <c r="H62" s="974"/>
      <c r="I62" s="979"/>
      <c r="J62" s="980"/>
      <c r="K62" s="1008"/>
      <c r="L62" s="987"/>
      <c r="M62" s="174"/>
      <c r="N62" s="175"/>
      <c r="O62" s="176"/>
      <c r="P62" s="46"/>
      <c r="Q62" s="47"/>
      <c r="R62" s="1012"/>
      <c r="S62" s="48"/>
      <c r="T62" s="891"/>
      <c r="U62" s="49"/>
      <c r="V62" s="891"/>
      <c r="W62" s="49"/>
      <c r="X62" s="891"/>
      <c r="Y62" s="49"/>
      <c r="Z62" s="891"/>
      <c r="AA62" s="49"/>
      <c r="AB62" s="891"/>
      <c r="AC62" s="49"/>
      <c r="AD62" s="891"/>
      <c r="AE62" s="49"/>
      <c r="AF62" s="891"/>
      <c r="AG62" s="50"/>
      <c r="AH62" s="857"/>
      <c r="AI62" s="857"/>
      <c r="AJ62" s="882"/>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57"/>
      <c r="B63" s="960"/>
      <c r="C63" s="963"/>
      <c r="D63" s="1006"/>
      <c r="E63" s="972"/>
      <c r="F63" s="969"/>
      <c r="G63" s="991"/>
      <c r="H63" s="975"/>
      <c r="I63" s="979"/>
      <c r="J63" s="980"/>
      <c r="K63" s="1009"/>
      <c r="L63" s="987"/>
      <c r="M63" s="177"/>
      <c r="N63" s="178"/>
      <c r="O63" s="179"/>
      <c r="P63" s="106"/>
      <c r="Q63" s="107"/>
      <c r="R63" s="1012"/>
      <c r="S63" s="108"/>
      <c r="T63" s="891"/>
      <c r="U63" s="109"/>
      <c r="V63" s="891"/>
      <c r="W63" s="109"/>
      <c r="X63" s="891"/>
      <c r="Y63" s="109"/>
      <c r="Z63" s="891"/>
      <c r="AA63" s="109"/>
      <c r="AB63" s="891"/>
      <c r="AC63" s="109"/>
      <c r="AD63" s="891"/>
      <c r="AE63" s="109"/>
      <c r="AF63" s="891"/>
      <c r="AG63" s="110"/>
      <c r="AH63" s="857"/>
      <c r="AI63" s="857"/>
      <c r="AJ63" s="883"/>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958"/>
      <c r="B64" s="961"/>
      <c r="C64" s="964"/>
      <c r="D64" s="1007"/>
      <c r="E64" s="973"/>
      <c r="F64" s="970"/>
      <c r="G64" s="992"/>
      <c r="H64" s="976"/>
      <c r="I64" s="981"/>
      <c r="J64" s="982"/>
      <c r="K64" s="1010"/>
      <c r="L64" s="988"/>
      <c r="M64" s="180"/>
      <c r="N64" s="181"/>
      <c r="O64" s="182"/>
      <c r="P64" s="117"/>
      <c r="Q64" s="117"/>
      <c r="R64" s="1013"/>
      <c r="S64" s="183"/>
      <c r="T64" s="892"/>
      <c r="U64" s="184"/>
      <c r="V64" s="892"/>
      <c r="W64" s="184"/>
      <c r="X64" s="892"/>
      <c r="Y64" s="184"/>
      <c r="Z64" s="892"/>
      <c r="AA64" s="184"/>
      <c r="AB64" s="892"/>
      <c r="AC64" s="184"/>
      <c r="AD64" s="892"/>
      <c r="AE64" s="184"/>
      <c r="AF64" s="892"/>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89"/>
      <c r="J65" s="98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6">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5"/>
      <c r="AI66" s="855"/>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1685</v>
      </c>
      <c r="BB66" s="44" t="s">
        <v>1686</v>
      </c>
      <c r="BC66" s="45" t="s">
        <v>1687</v>
      </c>
    </row>
    <row r="67" spans="1:55" ht="17.25" hidden="1" customHeight="1" x14ac:dyDescent="0.2">
      <c r="A67" s="957"/>
      <c r="B67" s="959" t="str">
        <f>VLOOKUP($D$9,'PROYECTOS REGISTRADOS'!$A$2:$D$82,4,0)</f>
        <v>Ampliación de programas para atención a la mujer en el Municipio de Tocancipá, Cundinamarca, Centro Oriente</v>
      </c>
      <c r="C67" s="962" t="str">
        <f>VLOOKUP($D$9,'PROYECTOS REGISTRADOS'!$A$2:$D$82,3,0)</f>
        <v>2016-25817-0031</v>
      </c>
      <c r="D67" s="1005"/>
      <c r="E67" s="971" t="str">
        <f>IF(D67=0,"0-0",(VLOOKUP(D67,#REF!,2,0)))</f>
        <v>0-0</v>
      </c>
      <c r="F67" s="968" t="str">
        <f>IF(D67=0,"0-0",(VLOOKUP(D67,#REF!,3,0)))</f>
        <v>0-0</v>
      </c>
      <c r="G67" s="990" t="str">
        <f>IF(D67=0,"0-0",(VLOOKUP(D67,#REF!,4,0)))</f>
        <v>0-0</v>
      </c>
      <c r="H67" s="974" t="str">
        <f>IF(D67=0,"0-0",(VLOOKUP(D67,#REF!,5,0)))</f>
        <v>0-0</v>
      </c>
      <c r="I67" s="977" t="str">
        <f>IF(D67=0,"0-0",(VLOOKUP(D67,#REF!,$R$3,0)))</f>
        <v>0-0</v>
      </c>
      <c r="J67" s="978"/>
      <c r="K67" s="1008"/>
      <c r="L67" s="986"/>
      <c r="M67" s="174"/>
      <c r="N67" s="175"/>
      <c r="O67" s="176"/>
      <c r="P67" s="46"/>
      <c r="Q67" s="47"/>
      <c r="R67" s="1011"/>
      <c r="S67" s="48"/>
      <c r="T67" s="890"/>
      <c r="U67" s="49"/>
      <c r="V67" s="890"/>
      <c r="W67" s="49"/>
      <c r="X67" s="890"/>
      <c r="Y67" s="49"/>
      <c r="Z67" s="890"/>
      <c r="AA67" s="49"/>
      <c r="AB67" s="890"/>
      <c r="AC67" s="49"/>
      <c r="AD67" s="890"/>
      <c r="AE67" s="49"/>
      <c r="AF67" s="890"/>
      <c r="AG67" s="50"/>
      <c r="AH67" s="856"/>
      <c r="AI67" s="856"/>
      <c r="AJ67" s="881">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57"/>
      <c r="B68" s="959"/>
      <c r="C68" s="962"/>
      <c r="D68" s="1005"/>
      <c r="E68" s="972"/>
      <c r="F68" s="968"/>
      <c r="G68" s="990"/>
      <c r="H68" s="974"/>
      <c r="I68" s="979"/>
      <c r="J68" s="980"/>
      <c r="K68" s="1008"/>
      <c r="L68" s="987"/>
      <c r="M68" s="174"/>
      <c r="N68" s="175"/>
      <c r="O68" s="176"/>
      <c r="P68" s="46"/>
      <c r="Q68" s="47"/>
      <c r="R68" s="1012"/>
      <c r="S68" s="48"/>
      <c r="T68" s="891"/>
      <c r="U68" s="49"/>
      <c r="V68" s="891"/>
      <c r="W68" s="49"/>
      <c r="X68" s="891"/>
      <c r="Y68" s="49"/>
      <c r="Z68" s="891"/>
      <c r="AA68" s="49"/>
      <c r="AB68" s="891"/>
      <c r="AC68" s="49"/>
      <c r="AD68" s="891"/>
      <c r="AE68" s="49"/>
      <c r="AF68" s="891"/>
      <c r="AG68" s="50"/>
      <c r="AH68" s="857"/>
      <c r="AI68" s="857"/>
      <c r="AJ68" s="882"/>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57"/>
      <c r="B69" s="959"/>
      <c r="C69" s="962"/>
      <c r="D69" s="1005"/>
      <c r="E69" s="972"/>
      <c r="F69" s="968"/>
      <c r="G69" s="990"/>
      <c r="H69" s="974"/>
      <c r="I69" s="979"/>
      <c r="J69" s="980"/>
      <c r="K69" s="1008"/>
      <c r="L69" s="987"/>
      <c r="M69" s="174"/>
      <c r="N69" s="175"/>
      <c r="O69" s="176"/>
      <c r="P69" s="46"/>
      <c r="Q69" s="47"/>
      <c r="R69" s="1012"/>
      <c r="S69" s="48"/>
      <c r="T69" s="891"/>
      <c r="U69" s="49"/>
      <c r="V69" s="891"/>
      <c r="W69" s="49"/>
      <c r="X69" s="891"/>
      <c r="Y69" s="49"/>
      <c r="Z69" s="891"/>
      <c r="AA69" s="49"/>
      <c r="AB69" s="891"/>
      <c r="AC69" s="49"/>
      <c r="AD69" s="891"/>
      <c r="AE69" s="49"/>
      <c r="AF69" s="891"/>
      <c r="AG69" s="50"/>
      <c r="AH69" s="857"/>
      <c r="AI69" s="857"/>
      <c r="AJ69" s="882"/>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57"/>
      <c r="B70" s="959"/>
      <c r="C70" s="962"/>
      <c r="D70" s="1005"/>
      <c r="E70" s="972"/>
      <c r="F70" s="968"/>
      <c r="G70" s="990"/>
      <c r="H70" s="974"/>
      <c r="I70" s="979"/>
      <c r="J70" s="980"/>
      <c r="K70" s="1008"/>
      <c r="L70" s="987"/>
      <c r="M70" s="174"/>
      <c r="N70" s="175"/>
      <c r="O70" s="176"/>
      <c r="P70" s="46"/>
      <c r="Q70" s="47"/>
      <c r="R70" s="1012"/>
      <c r="S70" s="48"/>
      <c r="T70" s="891"/>
      <c r="U70" s="49"/>
      <c r="V70" s="891"/>
      <c r="W70" s="49"/>
      <c r="X70" s="891"/>
      <c r="Y70" s="49"/>
      <c r="Z70" s="891"/>
      <c r="AA70" s="49"/>
      <c r="AB70" s="891"/>
      <c r="AC70" s="49"/>
      <c r="AD70" s="891"/>
      <c r="AE70" s="49"/>
      <c r="AF70" s="891"/>
      <c r="AG70" s="50"/>
      <c r="AH70" s="857"/>
      <c r="AI70" s="857"/>
      <c r="AJ70" s="882"/>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57"/>
      <c r="B71" s="959"/>
      <c r="C71" s="962"/>
      <c r="D71" s="1005"/>
      <c r="E71" s="972"/>
      <c r="F71" s="968"/>
      <c r="G71" s="990"/>
      <c r="H71" s="974"/>
      <c r="I71" s="979"/>
      <c r="J71" s="980"/>
      <c r="K71" s="1008"/>
      <c r="L71" s="987"/>
      <c r="M71" s="174"/>
      <c r="N71" s="175"/>
      <c r="O71" s="176"/>
      <c r="P71" s="46"/>
      <c r="Q71" s="47"/>
      <c r="R71" s="1012"/>
      <c r="S71" s="48"/>
      <c r="T71" s="891"/>
      <c r="U71" s="49"/>
      <c r="V71" s="891"/>
      <c r="W71" s="49"/>
      <c r="X71" s="891"/>
      <c r="Y71" s="49"/>
      <c r="Z71" s="891"/>
      <c r="AA71" s="49"/>
      <c r="AB71" s="891"/>
      <c r="AC71" s="49"/>
      <c r="AD71" s="891"/>
      <c r="AE71" s="49"/>
      <c r="AF71" s="891"/>
      <c r="AG71" s="50"/>
      <c r="AH71" s="857"/>
      <c r="AI71" s="857"/>
      <c r="AJ71" s="882"/>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57"/>
      <c r="B72" s="960"/>
      <c r="C72" s="963"/>
      <c r="D72" s="1006"/>
      <c r="E72" s="972"/>
      <c r="F72" s="969"/>
      <c r="G72" s="991"/>
      <c r="H72" s="975"/>
      <c r="I72" s="979"/>
      <c r="J72" s="980"/>
      <c r="K72" s="1009"/>
      <c r="L72" s="987"/>
      <c r="M72" s="177"/>
      <c r="N72" s="178"/>
      <c r="O72" s="179"/>
      <c r="P72" s="106"/>
      <c r="Q72" s="107"/>
      <c r="R72" s="1012"/>
      <c r="S72" s="108"/>
      <c r="T72" s="891"/>
      <c r="U72" s="109"/>
      <c r="V72" s="891"/>
      <c r="W72" s="109"/>
      <c r="X72" s="891"/>
      <c r="Y72" s="109"/>
      <c r="Z72" s="891"/>
      <c r="AA72" s="109"/>
      <c r="AB72" s="891"/>
      <c r="AC72" s="109"/>
      <c r="AD72" s="891"/>
      <c r="AE72" s="109"/>
      <c r="AF72" s="891"/>
      <c r="AG72" s="110"/>
      <c r="AH72" s="857"/>
      <c r="AI72" s="857"/>
      <c r="AJ72" s="883"/>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958"/>
      <c r="B73" s="961"/>
      <c r="C73" s="964"/>
      <c r="D73" s="1007"/>
      <c r="E73" s="973"/>
      <c r="F73" s="970"/>
      <c r="G73" s="992"/>
      <c r="H73" s="976"/>
      <c r="I73" s="981"/>
      <c r="J73" s="982"/>
      <c r="K73" s="1010"/>
      <c r="L73" s="988"/>
      <c r="M73" s="180"/>
      <c r="N73" s="181"/>
      <c r="O73" s="182"/>
      <c r="P73" s="117"/>
      <c r="Q73" s="117"/>
      <c r="R73" s="1013"/>
      <c r="S73" s="183"/>
      <c r="T73" s="892"/>
      <c r="U73" s="184"/>
      <c r="V73" s="892"/>
      <c r="W73" s="184"/>
      <c r="X73" s="892"/>
      <c r="Y73" s="184"/>
      <c r="Z73" s="892"/>
      <c r="AA73" s="184"/>
      <c r="AB73" s="892"/>
      <c r="AC73" s="184"/>
      <c r="AD73" s="892"/>
      <c r="AE73" s="184"/>
      <c r="AF73" s="892"/>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89"/>
      <c r="J74" s="98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6">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5"/>
      <c r="AI75" s="855"/>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1685</v>
      </c>
      <c r="BB75" s="44" t="s">
        <v>1686</v>
      </c>
      <c r="BC75" s="45" t="s">
        <v>1687</v>
      </c>
    </row>
    <row r="76" spans="1:55" ht="17.25" hidden="1" customHeight="1" x14ac:dyDescent="0.2">
      <c r="A76" s="957"/>
      <c r="B76" s="959" t="str">
        <f>VLOOKUP($D$9,'PROYECTOS REGISTRADOS'!$A$2:$D$82,4,0)</f>
        <v>Ampliación de programas para atención a la mujer en el Municipio de Tocancipá, Cundinamarca, Centro Oriente</v>
      </c>
      <c r="C76" s="962" t="str">
        <f>VLOOKUP($D$9,'PROYECTOS REGISTRADOS'!$A$2:$D$82,3,0)</f>
        <v>2016-25817-0031</v>
      </c>
      <c r="D76" s="1005"/>
      <c r="E76" s="971" t="str">
        <f>IF(D76=0,"0-0",(VLOOKUP(D76,#REF!,2,0)))</f>
        <v>0-0</v>
      </c>
      <c r="F76" s="968" t="str">
        <f>IF(D76=0,"0-0",(VLOOKUP(D76,#REF!,3,0)))</f>
        <v>0-0</v>
      </c>
      <c r="G76" s="990" t="str">
        <f>IF(D76=0,"0-0",(VLOOKUP(D76,#REF!,4,0)))</f>
        <v>0-0</v>
      </c>
      <c r="H76" s="974" t="str">
        <f>IF(D76=0,"0-0",(VLOOKUP(D76,#REF!,5,0)))</f>
        <v>0-0</v>
      </c>
      <c r="I76" s="977" t="str">
        <f>IF(D76=0,"0-0",(VLOOKUP(D76,#REF!,$R$3,0)))</f>
        <v>0-0</v>
      </c>
      <c r="J76" s="978"/>
      <c r="K76" s="1008"/>
      <c r="L76" s="986"/>
      <c r="M76" s="174"/>
      <c r="N76" s="175"/>
      <c r="O76" s="176"/>
      <c r="P76" s="46"/>
      <c r="Q76" s="47"/>
      <c r="R76" s="1011"/>
      <c r="S76" s="48"/>
      <c r="T76" s="890"/>
      <c r="U76" s="49"/>
      <c r="V76" s="890"/>
      <c r="W76" s="49"/>
      <c r="X76" s="890"/>
      <c r="Y76" s="49"/>
      <c r="Z76" s="890"/>
      <c r="AA76" s="49"/>
      <c r="AB76" s="890"/>
      <c r="AC76" s="49"/>
      <c r="AD76" s="890"/>
      <c r="AE76" s="49"/>
      <c r="AF76" s="890"/>
      <c r="AG76" s="50"/>
      <c r="AH76" s="856"/>
      <c r="AI76" s="856"/>
      <c r="AJ76" s="881">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57"/>
      <c r="B77" s="959"/>
      <c r="C77" s="962"/>
      <c r="D77" s="1005"/>
      <c r="E77" s="972"/>
      <c r="F77" s="968"/>
      <c r="G77" s="990"/>
      <c r="H77" s="974"/>
      <c r="I77" s="979"/>
      <c r="J77" s="980"/>
      <c r="K77" s="1008"/>
      <c r="L77" s="987"/>
      <c r="M77" s="174"/>
      <c r="N77" s="175"/>
      <c r="O77" s="176"/>
      <c r="P77" s="46"/>
      <c r="Q77" s="47"/>
      <c r="R77" s="1012"/>
      <c r="S77" s="48"/>
      <c r="T77" s="891"/>
      <c r="U77" s="49"/>
      <c r="V77" s="891"/>
      <c r="W77" s="49"/>
      <c r="X77" s="891"/>
      <c r="Y77" s="49"/>
      <c r="Z77" s="891"/>
      <c r="AA77" s="49"/>
      <c r="AB77" s="891"/>
      <c r="AC77" s="49"/>
      <c r="AD77" s="891"/>
      <c r="AE77" s="49"/>
      <c r="AF77" s="891"/>
      <c r="AG77" s="50"/>
      <c r="AH77" s="857"/>
      <c r="AI77" s="857"/>
      <c r="AJ77" s="882"/>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57"/>
      <c r="B78" s="959"/>
      <c r="C78" s="962"/>
      <c r="D78" s="1005"/>
      <c r="E78" s="972"/>
      <c r="F78" s="968"/>
      <c r="G78" s="990"/>
      <c r="H78" s="974"/>
      <c r="I78" s="979"/>
      <c r="J78" s="980"/>
      <c r="K78" s="1008"/>
      <c r="L78" s="987"/>
      <c r="M78" s="174"/>
      <c r="N78" s="175"/>
      <c r="O78" s="176"/>
      <c r="P78" s="46"/>
      <c r="Q78" s="47"/>
      <c r="R78" s="1012"/>
      <c r="S78" s="48"/>
      <c r="T78" s="891"/>
      <c r="U78" s="49"/>
      <c r="V78" s="891"/>
      <c r="W78" s="49"/>
      <c r="X78" s="891"/>
      <c r="Y78" s="49"/>
      <c r="Z78" s="891"/>
      <c r="AA78" s="49"/>
      <c r="AB78" s="891"/>
      <c r="AC78" s="49"/>
      <c r="AD78" s="891"/>
      <c r="AE78" s="49"/>
      <c r="AF78" s="891"/>
      <c r="AG78" s="50"/>
      <c r="AH78" s="857"/>
      <c r="AI78" s="857"/>
      <c r="AJ78" s="882"/>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57"/>
      <c r="B79" s="959"/>
      <c r="C79" s="962"/>
      <c r="D79" s="1005"/>
      <c r="E79" s="972"/>
      <c r="F79" s="968"/>
      <c r="G79" s="990"/>
      <c r="H79" s="974"/>
      <c r="I79" s="979"/>
      <c r="J79" s="980"/>
      <c r="K79" s="1008"/>
      <c r="L79" s="987"/>
      <c r="M79" s="174"/>
      <c r="N79" s="175"/>
      <c r="O79" s="176"/>
      <c r="P79" s="46"/>
      <c r="Q79" s="47"/>
      <c r="R79" s="1012"/>
      <c r="S79" s="48"/>
      <c r="T79" s="891"/>
      <c r="U79" s="49"/>
      <c r="V79" s="891"/>
      <c r="W79" s="49"/>
      <c r="X79" s="891"/>
      <c r="Y79" s="49"/>
      <c r="Z79" s="891"/>
      <c r="AA79" s="49"/>
      <c r="AB79" s="891"/>
      <c r="AC79" s="49"/>
      <c r="AD79" s="891"/>
      <c r="AE79" s="49"/>
      <c r="AF79" s="891"/>
      <c r="AG79" s="50"/>
      <c r="AH79" s="857"/>
      <c r="AI79" s="857"/>
      <c r="AJ79" s="882"/>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57"/>
      <c r="B80" s="959"/>
      <c r="C80" s="962"/>
      <c r="D80" s="1005"/>
      <c r="E80" s="972"/>
      <c r="F80" s="968"/>
      <c r="G80" s="990"/>
      <c r="H80" s="974"/>
      <c r="I80" s="979"/>
      <c r="J80" s="980"/>
      <c r="K80" s="1008"/>
      <c r="L80" s="987"/>
      <c r="M80" s="174"/>
      <c r="N80" s="175"/>
      <c r="O80" s="176"/>
      <c r="P80" s="46"/>
      <c r="Q80" s="47"/>
      <c r="R80" s="1012"/>
      <c r="S80" s="48"/>
      <c r="T80" s="891"/>
      <c r="U80" s="49"/>
      <c r="V80" s="891"/>
      <c r="W80" s="49"/>
      <c r="X80" s="891"/>
      <c r="Y80" s="49"/>
      <c r="Z80" s="891"/>
      <c r="AA80" s="49"/>
      <c r="AB80" s="891"/>
      <c r="AC80" s="49"/>
      <c r="AD80" s="891"/>
      <c r="AE80" s="49"/>
      <c r="AF80" s="891"/>
      <c r="AG80" s="50"/>
      <c r="AH80" s="857"/>
      <c r="AI80" s="857"/>
      <c r="AJ80" s="882"/>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57"/>
      <c r="B81" s="960"/>
      <c r="C81" s="963"/>
      <c r="D81" s="1006"/>
      <c r="E81" s="972"/>
      <c r="F81" s="969"/>
      <c r="G81" s="991"/>
      <c r="H81" s="975"/>
      <c r="I81" s="979"/>
      <c r="J81" s="980"/>
      <c r="K81" s="1009"/>
      <c r="L81" s="987"/>
      <c r="M81" s="177"/>
      <c r="N81" s="178"/>
      <c r="O81" s="179"/>
      <c r="P81" s="106"/>
      <c r="Q81" s="107"/>
      <c r="R81" s="1012"/>
      <c r="S81" s="108"/>
      <c r="T81" s="891"/>
      <c r="U81" s="109"/>
      <c r="V81" s="891"/>
      <c r="W81" s="109"/>
      <c r="X81" s="891"/>
      <c r="Y81" s="109"/>
      <c r="Z81" s="891"/>
      <c r="AA81" s="109"/>
      <c r="AB81" s="891"/>
      <c r="AC81" s="109"/>
      <c r="AD81" s="891"/>
      <c r="AE81" s="109"/>
      <c r="AF81" s="891"/>
      <c r="AG81" s="110"/>
      <c r="AH81" s="857"/>
      <c r="AI81" s="857"/>
      <c r="AJ81" s="883"/>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958"/>
      <c r="B82" s="961"/>
      <c r="C82" s="964"/>
      <c r="D82" s="1007"/>
      <c r="E82" s="973"/>
      <c r="F82" s="970"/>
      <c r="G82" s="992"/>
      <c r="H82" s="976"/>
      <c r="I82" s="981"/>
      <c r="J82" s="982"/>
      <c r="K82" s="1010"/>
      <c r="L82" s="988"/>
      <c r="M82" s="180"/>
      <c r="N82" s="181"/>
      <c r="O82" s="182"/>
      <c r="P82" s="117"/>
      <c r="Q82" s="117"/>
      <c r="R82" s="1013"/>
      <c r="S82" s="183"/>
      <c r="T82" s="892"/>
      <c r="U82" s="184"/>
      <c r="V82" s="892"/>
      <c r="W82" s="184"/>
      <c r="X82" s="892"/>
      <c r="Y82" s="184"/>
      <c r="Z82" s="892"/>
      <c r="AA82" s="184"/>
      <c r="AB82" s="892"/>
      <c r="AC82" s="184"/>
      <c r="AD82" s="892"/>
      <c r="AE82" s="184"/>
      <c r="AF82" s="892"/>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89"/>
      <c r="J83" s="98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6">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5"/>
      <c r="AI84" s="855"/>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1685</v>
      </c>
      <c r="BB84" s="44" t="s">
        <v>1686</v>
      </c>
      <c r="BC84" s="45" t="s">
        <v>1687</v>
      </c>
    </row>
    <row r="85" spans="1:55" ht="17.25" hidden="1" customHeight="1" x14ac:dyDescent="0.2">
      <c r="A85" s="957"/>
      <c r="B85" s="959" t="str">
        <f>VLOOKUP($D$9,'PROYECTOS REGISTRADOS'!$A$2:$D$82,4,0)</f>
        <v>Ampliación de programas para atención a la mujer en el Municipio de Tocancipá, Cundinamarca, Centro Oriente</v>
      </c>
      <c r="C85" s="962" t="str">
        <f>VLOOKUP($D$9,'PROYECTOS REGISTRADOS'!$A$2:$D$82,3,0)</f>
        <v>2016-25817-0031</v>
      </c>
      <c r="D85" s="1005"/>
      <c r="E85" s="971" t="str">
        <f>IF(D85=0,"0-0",(VLOOKUP(D85,#REF!,2,0)))</f>
        <v>0-0</v>
      </c>
      <c r="F85" s="968" t="str">
        <f>IF(D85=0,"0-0",(VLOOKUP(D85,#REF!,3,0)))</f>
        <v>0-0</v>
      </c>
      <c r="G85" s="990" t="str">
        <f>IF(D85=0,"0-0",(VLOOKUP(D85,#REF!,4,0)))</f>
        <v>0-0</v>
      </c>
      <c r="H85" s="974" t="str">
        <f>IF(D85=0,"0-0",(VLOOKUP(D85,#REF!,5,0)))</f>
        <v>0-0</v>
      </c>
      <c r="I85" s="977" t="str">
        <f>IF(D85=0,"0-0",(VLOOKUP(D85,#REF!,$R$3,0)))</f>
        <v>0-0</v>
      </c>
      <c r="J85" s="978"/>
      <c r="K85" s="1008"/>
      <c r="L85" s="986"/>
      <c r="M85" s="174"/>
      <c r="N85" s="175"/>
      <c r="O85" s="176"/>
      <c r="P85" s="46"/>
      <c r="Q85" s="47"/>
      <c r="R85" s="1011"/>
      <c r="S85" s="48"/>
      <c r="T85" s="890"/>
      <c r="U85" s="49"/>
      <c r="V85" s="890"/>
      <c r="W85" s="49"/>
      <c r="X85" s="890"/>
      <c r="Y85" s="49"/>
      <c r="Z85" s="890"/>
      <c r="AA85" s="49"/>
      <c r="AB85" s="890"/>
      <c r="AC85" s="49"/>
      <c r="AD85" s="890"/>
      <c r="AE85" s="49"/>
      <c r="AF85" s="890"/>
      <c r="AG85" s="50"/>
      <c r="AH85" s="856"/>
      <c r="AI85" s="856"/>
      <c r="AJ85" s="881">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57"/>
      <c r="B86" s="959"/>
      <c r="C86" s="962"/>
      <c r="D86" s="1005"/>
      <c r="E86" s="972"/>
      <c r="F86" s="968"/>
      <c r="G86" s="990"/>
      <c r="H86" s="974"/>
      <c r="I86" s="979"/>
      <c r="J86" s="980"/>
      <c r="K86" s="1008"/>
      <c r="L86" s="987"/>
      <c r="M86" s="174"/>
      <c r="N86" s="175"/>
      <c r="O86" s="176"/>
      <c r="P86" s="46"/>
      <c r="Q86" s="47"/>
      <c r="R86" s="1012"/>
      <c r="S86" s="48"/>
      <c r="T86" s="891"/>
      <c r="U86" s="49"/>
      <c r="V86" s="891"/>
      <c r="W86" s="49"/>
      <c r="X86" s="891"/>
      <c r="Y86" s="49"/>
      <c r="Z86" s="891"/>
      <c r="AA86" s="49"/>
      <c r="AB86" s="891"/>
      <c r="AC86" s="49"/>
      <c r="AD86" s="891"/>
      <c r="AE86" s="49"/>
      <c r="AF86" s="891"/>
      <c r="AG86" s="50"/>
      <c r="AH86" s="857"/>
      <c r="AI86" s="857"/>
      <c r="AJ86" s="882"/>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57"/>
      <c r="B87" s="959"/>
      <c r="C87" s="962"/>
      <c r="D87" s="1005"/>
      <c r="E87" s="972"/>
      <c r="F87" s="968"/>
      <c r="G87" s="990"/>
      <c r="H87" s="974"/>
      <c r="I87" s="979"/>
      <c r="J87" s="980"/>
      <c r="K87" s="1008"/>
      <c r="L87" s="987"/>
      <c r="M87" s="174"/>
      <c r="N87" s="175"/>
      <c r="O87" s="176"/>
      <c r="P87" s="46"/>
      <c r="Q87" s="47"/>
      <c r="R87" s="1012"/>
      <c r="S87" s="48"/>
      <c r="T87" s="891"/>
      <c r="U87" s="49"/>
      <c r="V87" s="891"/>
      <c r="W87" s="49"/>
      <c r="X87" s="891"/>
      <c r="Y87" s="49"/>
      <c r="Z87" s="891"/>
      <c r="AA87" s="49"/>
      <c r="AB87" s="891"/>
      <c r="AC87" s="49"/>
      <c r="AD87" s="891"/>
      <c r="AE87" s="49"/>
      <c r="AF87" s="891"/>
      <c r="AG87" s="50"/>
      <c r="AH87" s="857"/>
      <c r="AI87" s="857"/>
      <c r="AJ87" s="882"/>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57"/>
      <c r="B88" s="959"/>
      <c r="C88" s="962"/>
      <c r="D88" s="1005"/>
      <c r="E88" s="972"/>
      <c r="F88" s="968"/>
      <c r="G88" s="990"/>
      <c r="H88" s="974"/>
      <c r="I88" s="979"/>
      <c r="J88" s="980"/>
      <c r="K88" s="1008"/>
      <c r="L88" s="987"/>
      <c r="M88" s="174"/>
      <c r="N88" s="175"/>
      <c r="O88" s="176"/>
      <c r="P88" s="46"/>
      <c r="Q88" s="47"/>
      <c r="R88" s="1012"/>
      <c r="S88" s="48"/>
      <c r="T88" s="891"/>
      <c r="U88" s="49"/>
      <c r="V88" s="891"/>
      <c r="W88" s="49"/>
      <c r="X88" s="891"/>
      <c r="Y88" s="49"/>
      <c r="Z88" s="891"/>
      <c r="AA88" s="49"/>
      <c r="AB88" s="891"/>
      <c r="AC88" s="49"/>
      <c r="AD88" s="891"/>
      <c r="AE88" s="49"/>
      <c r="AF88" s="891"/>
      <c r="AG88" s="50"/>
      <c r="AH88" s="857"/>
      <c r="AI88" s="857"/>
      <c r="AJ88" s="882"/>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57"/>
      <c r="B89" s="959"/>
      <c r="C89" s="962"/>
      <c r="D89" s="1005"/>
      <c r="E89" s="972"/>
      <c r="F89" s="968"/>
      <c r="G89" s="990"/>
      <c r="H89" s="974"/>
      <c r="I89" s="979"/>
      <c r="J89" s="980"/>
      <c r="K89" s="1008"/>
      <c r="L89" s="987"/>
      <c r="M89" s="174"/>
      <c r="N89" s="175"/>
      <c r="O89" s="176"/>
      <c r="P89" s="46"/>
      <c r="Q89" s="47"/>
      <c r="R89" s="1012"/>
      <c r="S89" s="48"/>
      <c r="T89" s="891"/>
      <c r="U89" s="49"/>
      <c r="V89" s="891"/>
      <c r="W89" s="49"/>
      <c r="X89" s="891"/>
      <c r="Y89" s="49"/>
      <c r="Z89" s="891"/>
      <c r="AA89" s="49"/>
      <c r="AB89" s="891"/>
      <c r="AC89" s="49"/>
      <c r="AD89" s="891"/>
      <c r="AE89" s="49"/>
      <c r="AF89" s="891"/>
      <c r="AG89" s="50"/>
      <c r="AH89" s="857"/>
      <c r="AI89" s="857"/>
      <c r="AJ89" s="882"/>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57"/>
      <c r="B90" s="960"/>
      <c r="C90" s="963"/>
      <c r="D90" s="1006"/>
      <c r="E90" s="972"/>
      <c r="F90" s="969"/>
      <c r="G90" s="991"/>
      <c r="H90" s="975"/>
      <c r="I90" s="979"/>
      <c r="J90" s="980"/>
      <c r="K90" s="1009"/>
      <c r="L90" s="987"/>
      <c r="M90" s="177"/>
      <c r="N90" s="178"/>
      <c r="O90" s="179"/>
      <c r="P90" s="106"/>
      <c r="Q90" s="107"/>
      <c r="R90" s="1012"/>
      <c r="S90" s="108"/>
      <c r="T90" s="891"/>
      <c r="U90" s="109"/>
      <c r="V90" s="891"/>
      <c r="W90" s="109"/>
      <c r="X90" s="891"/>
      <c r="Y90" s="109"/>
      <c r="Z90" s="891"/>
      <c r="AA90" s="109"/>
      <c r="AB90" s="891"/>
      <c r="AC90" s="109"/>
      <c r="AD90" s="891"/>
      <c r="AE90" s="109"/>
      <c r="AF90" s="891"/>
      <c r="AG90" s="110"/>
      <c r="AH90" s="857"/>
      <c r="AI90" s="857"/>
      <c r="AJ90" s="883"/>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958"/>
      <c r="B91" s="961"/>
      <c r="C91" s="964"/>
      <c r="D91" s="1007"/>
      <c r="E91" s="973"/>
      <c r="F91" s="970"/>
      <c r="G91" s="992"/>
      <c r="H91" s="976"/>
      <c r="I91" s="981"/>
      <c r="J91" s="982"/>
      <c r="K91" s="1010"/>
      <c r="L91" s="988"/>
      <c r="M91" s="180"/>
      <c r="N91" s="181"/>
      <c r="O91" s="182"/>
      <c r="P91" s="117"/>
      <c r="Q91" s="117"/>
      <c r="R91" s="1013"/>
      <c r="S91" s="183"/>
      <c r="T91" s="892"/>
      <c r="U91" s="184"/>
      <c r="V91" s="892"/>
      <c r="W91" s="184"/>
      <c r="X91" s="892"/>
      <c r="Y91" s="184"/>
      <c r="Z91" s="892"/>
      <c r="AA91" s="184"/>
      <c r="AB91" s="892"/>
      <c r="AC91" s="184"/>
      <c r="AD91" s="892"/>
      <c r="AE91" s="184"/>
      <c r="AF91" s="892"/>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9"/>
      <c r="J92" s="98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6">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5"/>
      <c r="AI93" s="855"/>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1685</v>
      </c>
      <c r="BB93" s="44" t="s">
        <v>1686</v>
      </c>
      <c r="BC93" s="45" t="s">
        <v>1687</v>
      </c>
    </row>
    <row r="94" spans="1:55" ht="17.25" hidden="1" customHeight="1" x14ac:dyDescent="0.2">
      <c r="A94" s="957"/>
      <c r="B94" s="959" t="str">
        <f>VLOOKUP($D$9,'PROYECTOS REGISTRADOS'!$A$2:$D$82,4,0)</f>
        <v>Ampliación de programas para atención a la mujer en el Municipio de Tocancipá, Cundinamarca, Centro Oriente</v>
      </c>
      <c r="C94" s="962" t="str">
        <f>VLOOKUP($D$9,'PROYECTOS REGISTRADOS'!$A$2:$D$82,3,0)</f>
        <v>2016-25817-0031</v>
      </c>
      <c r="D94" s="1005"/>
      <c r="E94" s="971" t="str">
        <f>IF(D94=0,"0-0",(VLOOKUP(D94,#REF!,2,0)))</f>
        <v>0-0</v>
      </c>
      <c r="F94" s="968" t="str">
        <f>IF(D94=0,"0-0",(VLOOKUP(D94,#REF!,3,0)))</f>
        <v>0-0</v>
      </c>
      <c r="G94" s="990" t="str">
        <f>IF(D94=0,"0-0",(VLOOKUP(D94,#REF!,4,0)))</f>
        <v>0-0</v>
      </c>
      <c r="H94" s="974" t="str">
        <f>IF(D94=0,"0-0",(VLOOKUP(D94,#REF!,5,0)))</f>
        <v>0-0</v>
      </c>
      <c r="I94" s="977" t="str">
        <f>IF(D94=0,"0-0",(VLOOKUP(D94,#REF!,$R$3,0)))</f>
        <v>0-0</v>
      </c>
      <c r="J94" s="978"/>
      <c r="K94" s="1008"/>
      <c r="L94" s="986"/>
      <c r="M94" s="174"/>
      <c r="N94" s="175"/>
      <c r="O94" s="176"/>
      <c r="P94" s="46"/>
      <c r="Q94" s="47"/>
      <c r="R94" s="1011"/>
      <c r="S94" s="48"/>
      <c r="T94" s="890"/>
      <c r="U94" s="49"/>
      <c r="V94" s="890"/>
      <c r="W94" s="49"/>
      <c r="X94" s="890"/>
      <c r="Y94" s="49"/>
      <c r="Z94" s="890"/>
      <c r="AA94" s="49"/>
      <c r="AB94" s="890"/>
      <c r="AC94" s="49"/>
      <c r="AD94" s="890"/>
      <c r="AE94" s="49"/>
      <c r="AF94" s="890"/>
      <c r="AG94" s="50"/>
      <c r="AH94" s="856"/>
      <c r="AI94" s="856"/>
      <c r="AJ94" s="881">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57"/>
      <c r="B95" s="959"/>
      <c r="C95" s="962"/>
      <c r="D95" s="1005"/>
      <c r="E95" s="972"/>
      <c r="F95" s="968"/>
      <c r="G95" s="990"/>
      <c r="H95" s="974"/>
      <c r="I95" s="979"/>
      <c r="J95" s="980"/>
      <c r="K95" s="1008"/>
      <c r="L95" s="987"/>
      <c r="M95" s="174"/>
      <c r="N95" s="175"/>
      <c r="O95" s="176"/>
      <c r="P95" s="46"/>
      <c r="Q95" s="47"/>
      <c r="R95" s="1012"/>
      <c r="S95" s="48"/>
      <c r="T95" s="891"/>
      <c r="U95" s="49"/>
      <c r="V95" s="891"/>
      <c r="W95" s="49"/>
      <c r="X95" s="891"/>
      <c r="Y95" s="49"/>
      <c r="Z95" s="891"/>
      <c r="AA95" s="49"/>
      <c r="AB95" s="891"/>
      <c r="AC95" s="49"/>
      <c r="AD95" s="891"/>
      <c r="AE95" s="49"/>
      <c r="AF95" s="891"/>
      <c r="AG95" s="50"/>
      <c r="AH95" s="857"/>
      <c r="AI95" s="857"/>
      <c r="AJ95" s="882"/>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57"/>
      <c r="B96" s="959"/>
      <c r="C96" s="962"/>
      <c r="D96" s="1005"/>
      <c r="E96" s="972"/>
      <c r="F96" s="968"/>
      <c r="G96" s="990"/>
      <c r="H96" s="974"/>
      <c r="I96" s="979"/>
      <c r="J96" s="980"/>
      <c r="K96" s="1008"/>
      <c r="L96" s="987"/>
      <c r="M96" s="174"/>
      <c r="N96" s="175"/>
      <c r="O96" s="176"/>
      <c r="P96" s="46"/>
      <c r="Q96" s="47"/>
      <c r="R96" s="1012"/>
      <c r="S96" s="48"/>
      <c r="T96" s="891"/>
      <c r="U96" s="49"/>
      <c r="V96" s="891"/>
      <c r="W96" s="49"/>
      <c r="X96" s="891"/>
      <c r="Y96" s="49"/>
      <c r="Z96" s="891"/>
      <c r="AA96" s="49"/>
      <c r="AB96" s="891"/>
      <c r="AC96" s="49"/>
      <c r="AD96" s="891"/>
      <c r="AE96" s="49"/>
      <c r="AF96" s="891"/>
      <c r="AG96" s="50"/>
      <c r="AH96" s="857"/>
      <c r="AI96" s="857"/>
      <c r="AJ96" s="882"/>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57"/>
      <c r="B97" s="959"/>
      <c r="C97" s="962"/>
      <c r="D97" s="1005"/>
      <c r="E97" s="972"/>
      <c r="F97" s="968"/>
      <c r="G97" s="990"/>
      <c r="H97" s="974"/>
      <c r="I97" s="979"/>
      <c r="J97" s="980"/>
      <c r="K97" s="1008"/>
      <c r="L97" s="987"/>
      <c r="M97" s="174"/>
      <c r="N97" s="175"/>
      <c r="O97" s="176"/>
      <c r="P97" s="46"/>
      <c r="Q97" s="47"/>
      <c r="R97" s="1012"/>
      <c r="S97" s="48"/>
      <c r="T97" s="891"/>
      <c r="U97" s="49"/>
      <c r="V97" s="891"/>
      <c r="W97" s="49"/>
      <c r="X97" s="891"/>
      <c r="Y97" s="49"/>
      <c r="Z97" s="891"/>
      <c r="AA97" s="49"/>
      <c r="AB97" s="891"/>
      <c r="AC97" s="49"/>
      <c r="AD97" s="891"/>
      <c r="AE97" s="49"/>
      <c r="AF97" s="891"/>
      <c r="AG97" s="50"/>
      <c r="AH97" s="857"/>
      <c r="AI97" s="857"/>
      <c r="AJ97" s="882"/>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57"/>
      <c r="B98" s="959"/>
      <c r="C98" s="962"/>
      <c r="D98" s="1005"/>
      <c r="E98" s="972"/>
      <c r="F98" s="968"/>
      <c r="G98" s="990"/>
      <c r="H98" s="974"/>
      <c r="I98" s="979"/>
      <c r="J98" s="980"/>
      <c r="K98" s="1008"/>
      <c r="L98" s="987"/>
      <c r="M98" s="174"/>
      <c r="N98" s="175"/>
      <c r="O98" s="176"/>
      <c r="P98" s="46"/>
      <c r="Q98" s="47"/>
      <c r="R98" s="1012"/>
      <c r="S98" s="48"/>
      <c r="T98" s="891"/>
      <c r="U98" s="49"/>
      <c r="V98" s="891"/>
      <c r="W98" s="49"/>
      <c r="X98" s="891"/>
      <c r="Y98" s="49"/>
      <c r="Z98" s="891"/>
      <c r="AA98" s="49"/>
      <c r="AB98" s="891"/>
      <c r="AC98" s="49"/>
      <c r="AD98" s="891"/>
      <c r="AE98" s="49"/>
      <c r="AF98" s="891"/>
      <c r="AG98" s="50"/>
      <c r="AH98" s="857"/>
      <c r="AI98" s="857"/>
      <c r="AJ98" s="882"/>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57"/>
      <c r="B99" s="960"/>
      <c r="C99" s="963"/>
      <c r="D99" s="1006"/>
      <c r="E99" s="972"/>
      <c r="F99" s="969"/>
      <c r="G99" s="991"/>
      <c r="H99" s="975"/>
      <c r="I99" s="979"/>
      <c r="J99" s="980"/>
      <c r="K99" s="1009"/>
      <c r="L99" s="987"/>
      <c r="M99" s="177"/>
      <c r="N99" s="178"/>
      <c r="O99" s="179"/>
      <c r="P99" s="106"/>
      <c r="Q99" s="107"/>
      <c r="R99" s="1012"/>
      <c r="S99" s="108"/>
      <c r="T99" s="891"/>
      <c r="U99" s="109"/>
      <c r="V99" s="891"/>
      <c r="W99" s="109"/>
      <c r="X99" s="891"/>
      <c r="Y99" s="109"/>
      <c r="Z99" s="891"/>
      <c r="AA99" s="109"/>
      <c r="AB99" s="891"/>
      <c r="AC99" s="109"/>
      <c r="AD99" s="891"/>
      <c r="AE99" s="109"/>
      <c r="AF99" s="891"/>
      <c r="AG99" s="110"/>
      <c r="AH99" s="857"/>
      <c r="AI99" s="857"/>
      <c r="AJ99" s="883"/>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958"/>
      <c r="B100" s="961"/>
      <c r="C100" s="964"/>
      <c r="D100" s="1007"/>
      <c r="E100" s="973"/>
      <c r="F100" s="970"/>
      <c r="G100" s="992"/>
      <c r="H100" s="976"/>
      <c r="I100" s="981"/>
      <c r="J100" s="982"/>
      <c r="K100" s="1010"/>
      <c r="L100" s="988"/>
      <c r="M100" s="180"/>
      <c r="N100" s="181"/>
      <c r="O100" s="182"/>
      <c r="P100" s="117"/>
      <c r="Q100" s="117"/>
      <c r="R100" s="1013"/>
      <c r="S100" s="183"/>
      <c r="T100" s="892"/>
      <c r="U100" s="184"/>
      <c r="V100" s="892"/>
      <c r="W100" s="184"/>
      <c r="X100" s="892"/>
      <c r="Y100" s="184"/>
      <c r="Z100" s="892"/>
      <c r="AA100" s="184"/>
      <c r="AB100" s="892"/>
      <c r="AC100" s="184"/>
      <c r="AD100" s="892"/>
      <c r="AE100" s="184"/>
      <c r="AF100" s="892"/>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9"/>
      <c r="J101" s="989"/>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6">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5"/>
      <c r="AI102" s="855"/>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1685</v>
      </c>
      <c r="BB102" s="44" t="s">
        <v>1686</v>
      </c>
      <c r="BC102" s="45" t="s">
        <v>1687</v>
      </c>
    </row>
    <row r="103" spans="1:55" ht="17.25" hidden="1" customHeight="1" x14ac:dyDescent="0.2">
      <c r="A103" s="957"/>
      <c r="B103" s="959" t="str">
        <f>VLOOKUP($D$9,'PROYECTOS REGISTRADOS'!$A$2:$D$82,4,0)</f>
        <v>Ampliación de programas para atención a la mujer en el Municipio de Tocancipá, Cundinamarca, Centro Oriente</v>
      </c>
      <c r="C103" s="962" t="str">
        <f>VLOOKUP($D$9,'PROYECTOS REGISTRADOS'!$A$2:$D$82,3,0)</f>
        <v>2016-25817-0031</v>
      </c>
      <c r="D103" s="1005"/>
      <c r="E103" s="971" t="str">
        <f>IF(D103=0,"0-0",(VLOOKUP(D103,#REF!,2,0)))</f>
        <v>0-0</v>
      </c>
      <c r="F103" s="968" t="str">
        <f>IF(D103=0,"0-0",(VLOOKUP(D103,#REF!,3,0)))</f>
        <v>0-0</v>
      </c>
      <c r="G103" s="990" t="str">
        <f>IF(D103=0,"0-0",(VLOOKUP(D103,#REF!,4,0)))</f>
        <v>0-0</v>
      </c>
      <c r="H103" s="974" t="str">
        <f>IF(D103=0,"0-0",(VLOOKUP(D103,#REF!,5,0)))</f>
        <v>0-0</v>
      </c>
      <c r="I103" s="977" t="str">
        <f>IF(D103=0,"0-0",(VLOOKUP(D103,#REF!,$R$3,0)))</f>
        <v>0-0</v>
      </c>
      <c r="J103" s="978"/>
      <c r="K103" s="1008"/>
      <c r="L103" s="986"/>
      <c r="M103" s="174"/>
      <c r="N103" s="175"/>
      <c r="O103" s="176"/>
      <c r="P103" s="46"/>
      <c r="Q103" s="47"/>
      <c r="R103" s="1011"/>
      <c r="S103" s="48"/>
      <c r="T103" s="890"/>
      <c r="U103" s="49"/>
      <c r="V103" s="890"/>
      <c r="W103" s="49"/>
      <c r="X103" s="890"/>
      <c r="Y103" s="49"/>
      <c r="Z103" s="890"/>
      <c r="AA103" s="49"/>
      <c r="AB103" s="890"/>
      <c r="AC103" s="49"/>
      <c r="AD103" s="890"/>
      <c r="AE103" s="49"/>
      <c r="AF103" s="890"/>
      <c r="AG103" s="50"/>
      <c r="AH103" s="856"/>
      <c r="AI103" s="856"/>
      <c r="AJ103" s="881">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57"/>
      <c r="B104" s="959"/>
      <c r="C104" s="962"/>
      <c r="D104" s="1005"/>
      <c r="E104" s="972"/>
      <c r="F104" s="968"/>
      <c r="G104" s="990"/>
      <c r="H104" s="974"/>
      <c r="I104" s="979"/>
      <c r="J104" s="980"/>
      <c r="K104" s="1008"/>
      <c r="L104" s="987"/>
      <c r="M104" s="174"/>
      <c r="N104" s="175"/>
      <c r="O104" s="176"/>
      <c r="P104" s="46"/>
      <c r="Q104" s="47"/>
      <c r="R104" s="1012"/>
      <c r="S104" s="48"/>
      <c r="T104" s="891"/>
      <c r="U104" s="49"/>
      <c r="V104" s="891"/>
      <c r="W104" s="49"/>
      <c r="X104" s="891"/>
      <c r="Y104" s="49"/>
      <c r="Z104" s="891"/>
      <c r="AA104" s="49"/>
      <c r="AB104" s="891"/>
      <c r="AC104" s="49"/>
      <c r="AD104" s="891"/>
      <c r="AE104" s="49"/>
      <c r="AF104" s="891"/>
      <c r="AG104" s="50"/>
      <c r="AH104" s="857"/>
      <c r="AI104" s="857"/>
      <c r="AJ104" s="882"/>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57"/>
      <c r="B105" s="959"/>
      <c r="C105" s="962"/>
      <c r="D105" s="1005"/>
      <c r="E105" s="972"/>
      <c r="F105" s="968"/>
      <c r="G105" s="990"/>
      <c r="H105" s="974"/>
      <c r="I105" s="979"/>
      <c r="J105" s="980"/>
      <c r="K105" s="1008"/>
      <c r="L105" s="987"/>
      <c r="M105" s="174"/>
      <c r="N105" s="175"/>
      <c r="O105" s="176"/>
      <c r="P105" s="46"/>
      <c r="Q105" s="47"/>
      <c r="R105" s="1012"/>
      <c r="S105" s="48"/>
      <c r="T105" s="891"/>
      <c r="U105" s="49"/>
      <c r="V105" s="891"/>
      <c r="W105" s="49"/>
      <c r="X105" s="891"/>
      <c r="Y105" s="49"/>
      <c r="Z105" s="891"/>
      <c r="AA105" s="49"/>
      <c r="AB105" s="891"/>
      <c r="AC105" s="49"/>
      <c r="AD105" s="891"/>
      <c r="AE105" s="49"/>
      <c r="AF105" s="891"/>
      <c r="AG105" s="50"/>
      <c r="AH105" s="857"/>
      <c r="AI105" s="857"/>
      <c r="AJ105" s="882"/>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57"/>
      <c r="B106" s="959"/>
      <c r="C106" s="962"/>
      <c r="D106" s="1005"/>
      <c r="E106" s="972"/>
      <c r="F106" s="968"/>
      <c r="G106" s="990"/>
      <c r="H106" s="974"/>
      <c r="I106" s="979"/>
      <c r="J106" s="980"/>
      <c r="K106" s="1008"/>
      <c r="L106" s="987"/>
      <c r="M106" s="174"/>
      <c r="N106" s="175"/>
      <c r="O106" s="176"/>
      <c r="P106" s="46"/>
      <c r="Q106" s="47"/>
      <c r="R106" s="1012"/>
      <c r="S106" s="48"/>
      <c r="T106" s="891"/>
      <c r="U106" s="49"/>
      <c r="V106" s="891"/>
      <c r="W106" s="49"/>
      <c r="X106" s="891"/>
      <c r="Y106" s="49"/>
      <c r="Z106" s="891"/>
      <c r="AA106" s="49"/>
      <c r="AB106" s="891"/>
      <c r="AC106" s="49"/>
      <c r="AD106" s="891"/>
      <c r="AE106" s="49"/>
      <c r="AF106" s="891"/>
      <c r="AG106" s="50"/>
      <c r="AH106" s="857"/>
      <c r="AI106" s="857"/>
      <c r="AJ106" s="882"/>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57"/>
      <c r="B107" s="959"/>
      <c r="C107" s="962"/>
      <c r="D107" s="1005"/>
      <c r="E107" s="972"/>
      <c r="F107" s="968"/>
      <c r="G107" s="990"/>
      <c r="H107" s="974"/>
      <c r="I107" s="979"/>
      <c r="J107" s="980"/>
      <c r="K107" s="1008"/>
      <c r="L107" s="987"/>
      <c r="M107" s="174"/>
      <c r="N107" s="175"/>
      <c r="O107" s="176"/>
      <c r="P107" s="46"/>
      <c r="Q107" s="47"/>
      <c r="R107" s="1012"/>
      <c r="S107" s="48"/>
      <c r="T107" s="891"/>
      <c r="U107" s="49"/>
      <c r="V107" s="891"/>
      <c r="W107" s="49"/>
      <c r="X107" s="891"/>
      <c r="Y107" s="49"/>
      <c r="Z107" s="891"/>
      <c r="AA107" s="49"/>
      <c r="AB107" s="891"/>
      <c r="AC107" s="49"/>
      <c r="AD107" s="891"/>
      <c r="AE107" s="49"/>
      <c r="AF107" s="891"/>
      <c r="AG107" s="50"/>
      <c r="AH107" s="857"/>
      <c r="AI107" s="857"/>
      <c r="AJ107" s="882"/>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57"/>
      <c r="B108" s="960"/>
      <c r="C108" s="963"/>
      <c r="D108" s="1006"/>
      <c r="E108" s="972"/>
      <c r="F108" s="969"/>
      <c r="G108" s="991"/>
      <c r="H108" s="975"/>
      <c r="I108" s="979"/>
      <c r="J108" s="980"/>
      <c r="K108" s="1009"/>
      <c r="L108" s="987"/>
      <c r="M108" s="177"/>
      <c r="N108" s="178"/>
      <c r="O108" s="179"/>
      <c r="P108" s="106"/>
      <c r="Q108" s="107"/>
      <c r="R108" s="1012"/>
      <c r="S108" s="108"/>
      <c r="T108" s="891"/>
      <c r="U108" s="109"/>
      <c r="V108" s="891"/>
      <c r="W108" s="109"/>
      <c r="X108" s="891"/>
      <c r="Y108" s="109"/>
      <c r="Z108" s="891"/>
      <c r="AA108" s="109"/>
      <c r="AB108" s="891"/>
      <c r="AC108" s="109"/>
      <c r="AD108" s="891"/>
      <c r="AE108" s="109"/>
      <c r="AF108" s="891"/>
      <c r="AG108" s="110"/>
      <c r="AH108" s="857"/>
      <c r="AI108" s="857"/>
      <c r="AJ108" s="883"/>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8"/>
      <c r="B109" s="961"/>
      <c r="C109" s="964"/>
      <c r="D109" s="1007"/>
      <c r="E109" s="973"/>
      <c r="F109" s="970"/>
      <c r="G109" s="992"/>
      <c r="H109" s="976"/>
      <c r="I109" s="981"/>
      <c r="J109" s="982"/>
      <c r="K109" s="1010"/>
      <c r="L109" s="988"/>
      <c r="M109" s="180"/>
      <c r="N109" s="181"/>
      <c r="O109" s="182"/>
      <c r="P109" s="117"/>
      <c r="Q109" s="117"/>
      <c r="R109" s="1013"/>
      <c r="S109" s="183"/>
      <c r="T109" s="892"/>
      <c r="U109" s="184"/>
      <c r="V109" s="892"/>
      <c r="W109" s="184"/>
      <c r="X109" s="892"/>
      <c r="Y109" s="184"/>
      <c r="Z109" s="892"/>
      <c r="AA109" s="184"/>
      <c r="AB109" s="892"/>
      <c r="AC109" s="184"/>
      <c r="AD109" s="892"/>
      <c r="AE109" s="184"/>
      <c r="AF109" s="892"/>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9"/>
      <c r="J110" s="989"/>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6">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5"/>
      <c r="AI111" s="855"/>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1685</v>
      </c>
      <c r="BB111" s="44" t="s">
        <v>1686</v>
      </c>
      <c r="BC111" s="45" t="s">
        <v>1687</v>
      </c>
    </row>
    <row r="112" spans="1:55" ht="17.25" hidden="1" customHeight="1" x14ac:dyDescent="0.2">
      <c r="A112" s="957"/>
      <c r="B112" s="959" t="str">
        <f>VLOOKUP($D$9,'PROYECTOS REGISTRADOS'!$A$2:$D$82,4,0)</f>
        <v>Ampliación de programas para atención a la mujer en el Municipio de Tocancipá, Cundinamarca, Centro Oriente</v>
      </c>
      <c r="C112" s="962" t="str">
        <f>VLOOKUP($D$9,'PROYECTOS REGISTRADOS'!$A$2:$D$82,3,0)</f>
        <v>2016-25817-0031</v>
      </c>
      <c r="D112" s="1005"/>
      <c r="E112" s="971" t="str">
        <f>IF(D112=0,"0-0",(VLOOKUP(D112,#REF!,2,0)))</f>
        <v>0-0</v>
      </c>
      <c r="F112" s="968" t="str">
        <f>IF(D112=0,"0-0",(VLOOKUP(D112,#REF!,3,0)))</f>
        <v>0-0</v>
      </c>
      <c r="G112" s="990" t="str">
        <f>IF(D112=0,"0-0",(VLOOKUP(D112,#REF!,4,0)))</f>
        <v>0-0</v>
      </c>
      <c r="H112" s="974" t="str">
        <f>IF(D112=0,"0-0",(VLOOKUP(D112,#REF!,5,0)))</f>
        <v>0-0</v>
      </c>
      <c r="I112" s="977" t="str">
        <f>IF(D112=0,"0-0",(VLOOKUP(D112,#REF!,$R$3,0)))</f>
        <v>0-0</v>
      </c>
      <c r="J112" s="978"/>
      <c r="K112" s="1008"/>
      <c r="L112" s="986"/>
      <c r="M112" s="174"/>
      <c r="N112" s="175"/>
      <c r="O112" s="176"/>
      <c r="P112" s="46"/>
      <c r="Q112" s="47"/>
      <c r="R112" s="1011"/>
      <c r="S112" s="48"/>
      <c r="T112" s="890"/>
      <c r="U112" s="49"/>
      <c r="V112" s="890"/>
      <c r="W112" s="49"/>
      <c r="X112" s="890"/>
      <c r="Y112" s="49"/>
      <c r="Z112" s="890"/>
      <c r="AA112" s="49"/>
      <c r="AB112" s="890"/>
      <c r="AC112" s="49"/>
      <c r="AD112" s="890"/>
      <c r="AE112" s="49"/>
      <c r="AF112" s="890"/>
      <c r="AG112" s="50"/>
      <c r="AH112" s="856"/>
      <c r="AI112" s="856"/>
      <c r="AJ112" s="881">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57"/>
      <c r="B113" s="959"/>
      <c r="C113" s="962"/>
      <c r="D113" s="1005"/>
      <c r="E113" s="972"/>
      <c r="F113" s="968"/>
      <c r="G113" s="990"/>
      <c r="H113" s="974"/>
      <c r="I113" s="979"/>
      <c r="J113" s="980"/>
      <c r="K113" s="1008"/>
      <c r="L113" s="987"/>
      <c r="M113" s="174"/>
      <c r="N113" s="175"/>
      <c r="O113" s="176"/>
      <c r="P113" s="46"/>
      <c r="Q113" s="47"/>
      <c r="R113" s="1012"/>
      <c r="S113" s="48"/>
      <c r="T113" s="891"/>
      <c r="U113" s="49"/>
      <c r="V113" s="891"/>
      <c r="W113" s="49"/>
      <c r="X113" s="891"/>
      <c r="Y113" s="49"/>
      <c r="Z113" s="891"/>
      <c r="AA113" s="49"/>
      <c r="AB113" s="891"/>
      <c r="AC113" s="49"/>
      <c r="AD113" s="891"/>
      <c r="AE113" s="49"/>
      <c r="AF113" s="891"/>
      <c r="AG113" s="50"/>
      <c r="AH113" s="857"/>
      <c r="AI113" s="857"/>
      <c r="AJ113" s="882"/>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57"/>
      <c r="B114" s="959"/>
      <c r="C114" s="962"/>
      <c r="D114" s="1005"/>
      <c r="E114" s="972"/>
      <c r="F114" s="968"/>
      <c r="G114" s="990"/>
      <c r="H114" s="974"/>
      <c r="I114" s="979"/>
      <c r="J114" s="980"/>
      <c r="K114" s="1008"/>
      <c r="L114" s="987"/>
      <c r="M114" s="174"/>
      <c r="N114" s="175"/>
      <c r="O114" s="176"/>
      <c r="P114" s="46"/>
      <c r="Q114" s="47"/>
      <c r="R114" s="1012"/>
      <c r="S114" s="48"/>
      <c r="T114" s="891"/>
      <c r="U114" s="49"/>
      <c r="V114" s="891"/>
      <c r="W114" s="49"/>
      <c r="X114" s="891"/>
      <c r="Y114" s="49"/>
      <c r="Z114" s="891"/>
      <c r="AA114" s="49"/>
      <c r="AB114" s="891"/>
      <c r="AC114" s="49"/>
      <c r="AD114" s="891"/>
      <c r="AE114" s="49"/>
      <c r="AF114" s="891"/>
      <c r="AG114" s="50"/>
      <c r="AH114" s="857"/>
      <c r="AI114" s="857"/>
      <c r="AJ114" s="882"/>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57"/>
      <c r="B115" s="959"/>
      <c r="C115" s="962"/>
      <c r="D115" s="1005"/>
      <c r="E115" s="972"/>
      <c r="F115" s="968"/>
      <c r="G115" s="990"/>
      <c r="H115" s="974"/>
      <c r="I115" s="979"/>
      <c r="J115" s="980"/>
      <c r="K115" s="1008"/>
      <c r="L115" s="987"/>
      <c r="M115" s="174"/>
      <c r="N115" s="175"/>
      <c r="O115" s="176"/>
      <c r="P115" s="46"/>
      <c r="Q115" s="47"/>
      <c r="R115" s="1012"/>
      <c r="S115" s="48"/>
      <c r="T115" s="891"/>
      <c r="U115" s="49"/>
      <c r="V115" s="891"/>
      <c r="W115" s="49"/>
      <c r="X115" s="891"/>
      <c r="Y115" s="49"/>
      <c r="Z115" s="891"/>
      <c r="AA115" s="49"/>
      <c r="AB115" s="891"/>
      <c r="AC115" s="49"/>
      <c r="AD115" s="891"/>
      <c r="AE115" s="49"/>
      <c r="AF115" s="891"/>
      <c r="AG115" s="50"/>
      <c r="AH115" s="857"/>
      <c r="AI115" s="857"/>
      <c r="AJ115" s="882"/>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57"/>
      <c r="B116" s="959"/>
      <c r="C116" s="962"/>
      <c r="D116" s="1005"/>
      <c r="E116" s="972"/>
      <c r="F116" s="968"/>
      <c r="G116" s="990"/>
      <c r="H116" s="974"/>
      <c r="I116" s="979"/>
      <c r="J116" s="980"/>
      <c r="K116" s="1008"/>
      <c r="L116" s="987"/>
      <c r="M116" s="174"/>
      <c r="N116" s="175"/>
      <c r="O116" s="176"/>
      <c r="P116" s="46"/>
      <c r="Q116" s="47"/>
      <c r="R116" s="1012"/>
      <c r="S116" s="48"/>
      <c r="T116" s="891"/>
      <c r="U116" s="49"/>
      <c r="V116" s="891"/>
      <c r="W116" s="49"/>
      <c r="X116" s="891"/>
      <c r="Y116" s="49"/>
      <c r="Z116" s="891"/>
      <c r="AA116" s="49"/>
      <c r="AB116" s="891"/>
      <c r="AC116" s="49"/>
      <c r="AD116" s="891"/>
      <c r="AE116" s="49"/>
      <c r="AF116" s="891"/>
      <c r="AG116" s="50"/>
      <c r="AH116" s="857"/>
      <c r="AI116" s="857"/>
      <c r="AJ116" s="882"/>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57"/>
      <c r="B117" s="960"/>
      <c r="C117" s="963"/>
      <c r="D117" s="1006"/>
      <c r="E117" s="972"/>
      <c r="F117" s="969"/>
      <c r="G117" s="991"/>
      <c r="H117" s="975"/>
      <c r="I117" s="979"/>
      <c r="J117" s="980"/>
      <c r="K117" s="1009"/>
      <c r="L117" s="987"/>
      <c r="M117" s="177"/>
      <c r="N117" s="178"/>
      <c r="O117" s="179"/>
      <c r="P117" s="106"/>
      <c r="Q117" s="107"/>
      <c r="R117" s="1012"/>
      <c r="S117" s="108"/>
      <c r="T117" s="891"/>
      <c r="U117" s="109"/>
      <c r="V117" s="891"/>
      <c r="W117" s="109"/>
      <c r="X117" s="891"/>
      <c r="Y117" s="109"/>
      <c r="Z117" s="891"/>
      <c r="AA117" s="109"/>
      <c r="AB117" s="891"/>
      <c r="AC117" s="109"/>
      <c r="AD117" s="891"/>
      <c r="AE117" s="109"/>
      <c r="AF117" s="891"/>
      <c r="AG117" s="110"/>
      <c r="AH117" s="857"/>
      <c r="AI117" s="857"/>
      <c r="AJ117" s="883"/>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8"/>
      <c r="B118" s="961"/>
      <c r="C118" s="964"/>
      <c r="D118" s="1007"/>
      <c r="E118" s="973"/>
      <c r="F118" s="970"/>
      <c r="G118" s="992"/>
      <c r="H118" s="976"/>
      <c r="I118" s="981"/>
      <c r="J118" s="982"/>
      <c r="K118" s="1010"/>
      <c r="L118" s="988"/>
      <c r="M118" s="180"/>
      <c r="N118" s="181"/>
      <c r="O118" s="182"/>
      <c r="P118" s="117"/>
      <c r="Q118" s="117"/>
      <c r="R118" s="1013"/>
      <c r="S118" s="183"/>
      <c r="T118" s="892"/>
      <c r="U118" s="184"/>
      <c r="V118" s="892"/>
      <c r="W118" s="184"/>
      <c r="X118" s="892"/>
      <c r="Y118" s="184"/>
      <c r="Z118" s="892"/>
      <c r="AA118" s="184"/>
      <c r="AB118" s="892"/>
      <c r="AC118" s="184"/>
      <c r="AD118" s="892"/>
      <c r="AE118" s="184"/>
      <c r="AF118" s="892"/>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9"/>
      <c r="J119" s="989"/>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6">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5"/>
      <c r="AI120" s="855"/>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1685</v>
      </c>
      <c r="BB120" s="44" t="s">
        <v>1686</v>
      </c>
      <c r="BC120" s="45" t="s">
        <v>1687</v>
      </c>
    </row>
    <row r="121" spans="1:55" ht="17.25" hidden="1" customHeight="1" x14ac:dyDescent="0.2">
      <c r="A121" s="957"/>
      <c r="B121" s="959" t="str">
        <f>VLOOKUP($D$9,'PROYECTOS REGISTRADOS'!$A$2:$D$82,4,0)</f>
        <v>Ampliación de programas para atención a la mujer en el Municipio de Tocancipá, Cundinamarca, Centro Oriente</v>
      </c>
      <c r="C121" s="962" t="str">
        <f>VLOOKUP($D$9,'PROYECTOS REGISTRADOS'!$A$2:$D$82,3,0)</f>
        <v>2016-25817-0031</v>
      </c>
      <c r="D121" s="1005"/>
      <c r="E121" s="971" t="str">
        <f>IF(D121=0,"0-0",(VLOOKUP(D121,#REF!,2,0)))</f>
        <v>0-0</v>
      </c>
      <c r="F121" s="968" t="str">
        <f>IF(D121=0,"0-0",(VLOOKUP(D121,#REF!,3,0)))</f>
        <v>0-0</v>
      </c>
      <c r="G121" s="990" t="str">
        <f>IF(D121=0,"0-0",(VLOOKUP(D121,#REF!,4,0)))</f>
        <v>0-0</v>
      </c>
      <c r="H121" s="974" t="str">
        <f>IF(D121=0,"0-0",(VLOOKUP(D121,#REF!,5,0)))</f>
        <v>0-0</v>
      </c>
      <c r="I121" s="977" t="str">
        <f>IF(D121=0,"0-0",(VLOOKUP(D121,#REF!,$R$3,0)))</f>
        <v>0-0</v>
      </c>
      <c r="J121" s="978"/>
      <c r="K121" s="1008"/>
      <c r="L121" s="986"/>
      <c r="M121" s="174"/>
      <c r="N121" s="175"/>
      <c r="O121" s="176"/>
      <c r="P121" s="46"/>
      <c r="Q121" s="47"/>
      <c r="R121" s="1011"/>
      <c r="S121" s="48"/>
      <c r="T121" s="890"/>
      <c r="U121" s="49"/>
      <c r="V121" s="890"/>
      <c r="W121" s="49"/>
      <c r="X121" s="890"/>
      <c r="Y121" s="49"/>
      <c r="Z121" s="890"/>
      <c r="AA121" s="49"/>
      <c r="AB121" s="890"/>
      <c r="AC121" s="49"/>
      <c r="AD121" s="890"/>
      <c r="AE121" s="49"/>
      <c r="AF121" s="890"/>
      <c r="AG121" s="50"/>
      <c r="AH121" s="856"/>
      <c r="AI121" s="856"/>
      <c r="AJ121" s="881">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57"/>
      <c r="B122" s="959"/>
      <c r="C122" s="962"/>
      <c r="D122" s="1005"/>
      <c r="E122" s="972"/>
      <c r="F122" s="968"/>
      <c r="G122" s="990"/>
      <c r="H122" s="974"/>
      <c r="I122" s="979"/>
      <c r="J122" s="980"/>
      <c r="K122" s="1008"/>
      <c r="L122" s="987"/>
      <c r="M122" s="174"/>
      <c r="N122" s="175"/>
      <c r="O122" s="176"/>
      <c r="P122" s="46"/>
      <c r="Q122" s="47"/>
      <c r="R122" s="1012"/>
      <c r="S122" s="48"/>
      <c r="T122" s="891"/>
      <c r="U122" s="49"/>
      <c r="V122" s="891"/>
      <c r="W122" s="49"/>
      <c r="X122" s="891"/>
      <c r="Y122" s="49"/>
      <c r="Z122" s="891"/>
      <c r="AA122" s="49"/>
      <c r="AB122" s="891"/>
      <c r="AC122" s="49"/>
      <c r="AD122" s="891"/>
      <c r="AE122" s="49"/>
      <c r="AF122" s="891"/>
      <c r="AG122" s="50"/>
      <c r="AH122" s="857"/>
      <c r="AI122" s="857"/>
      <c r="AJ122" s="882"/>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57"/>
      <c r="B123" s="959"/>
      <c r="C123" s="962"/>
      <c r="D123" s="1005"/>
      <c r="E123" s="972"/>
      <c r="F123" s="968"/>
      <c r="G123" s="990"/>
      <c r="H123" s="974"/>
      <c r="I123" s="979"/>
      <c r="J123" s="980"/>
      <c r="K123" s="1008"/>
      <c r="L123" s="987"/>
      <c r="M123" s="174"/>
      <c r="N123" s="175"/>
      <c r="O123" s="176"/>
      <c r="P123" s="46"/>
      <c r="Q123" s="47"/>
      <c r="R123" s="1012"/>
      <c r="S123" s="48"/>
      <c r="T123" s="891"/>
      <c r="U123" s="49"/>
      <c r="V123" s="891"/>
      <c r="W123" s="49"/>
      <c r="X123" s="891"/>
      <c r="Y123" s="49"/>
      <c r="Z123" s="891"/>
      <c r="AA123" s="49"/>
      <c r="AB123" s="891"/>
      <c r="AC123" s="49"/>
      <c r="AD123" s="891"/>
      <c r="AE123" s="49"/>
      <c r="AF123" s="891"/>
      <c r="AG123" s="50"/>
      <c r="AH123" s="857"/>
      <c r="AI123" s="857"/>
      <c r="AJ123" s="882"/>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57"/>
      <c r="B124" s="959"/>
      <c r="C124" s="962"/>
      <c r="D124" s="1005"/>
      <c r="E124" s="972"/>
      <c r="F124" s="968"/>
      <c r="G124" s="990"/>
      <c r="H124" s="974"/>
      <c r="I124" s="979"/>
      <c r="J124" s="980"/>
      <c r="K124" s="1008"/>
      <c r="L124" s="987"/>
      <c r="M124" s="174"/>
      <c r="N124" s="175"/>
      <c r="O124" s="176"/>
      <c r="P124" s="46"/>
      <c r="Q124" s="47"/>
      <c r="R124" s="1012"/>
      <c r="S124" s="48"/>
      <c r="T124" s="891"/>
      <c r="U124" s="49"/>
      <c r="V124" s="891"/>
      <c r="W124" s="49"/>
      <c r="X124" s="891"/>
      <c r="Y124" s="49"/>
      <c r="Z124" s="891"/>
      <c r="AA124" s="49"/>
      <c r="AB124" s="891"/>
      <c r="AC124" s="49"/>
      <c r="AD124" s="891"/>
      <c r="AE124" s="49"/>
      <c r="AF124" s="891"/>
      <c r="AG124" s="50"/>
      <c r="AH124" s="857"/>
      <c r="AI124" s="857"/>
      <c r="AJ124" s="882"/>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57"/>
      <c r="B125" s="959"/>
      <c r="C125" s="962"/>
      <c r="D125" s="1005"/>
      <c r="E125" s="972"/>
      <c r="F125" s="968"/>
      <c r="G125" s="990"/>
      <c r="H125" s="974"/>
      <c r="I125" s="979"/>
      <c r="J125" s="980"/>
      <c r="K125" s="1008"/>
      <c r="L125" s="987"/>
      <c r="M125" s="174"/>
      <c r="N125" s="175"/>
      <c r="O125" s="176"/>
      <c r="P125" s="46"/>
      <c r="Q125" s="47"/>
      <c r="R125" s="1012"/>
      <c r="S125" s="48"/>
      <c r="T125" s="891"/>
      <c r="U125" s="49"/>
      <c r="V125" s="891"/>
      <c r="W125" s="49"/>
      <c r="X125" s="891"/>
      <c r="Y125" s="49"/>
      <c r="Z125" s="891"/>
      <c r="AA125" s="49"/>
      <c r="AB125" s="891"/>
      <c r="AC125" s="49"/>
      <c r="AD125" s="891"/>
      <c r="AE125" s="49"/>
      <c r="AF125" s="891"/>
      <c r="AG125" s="50"/>
      <c r="AH125" s="857"/>
      <c r="AI125" s="857"/>
      <c r="AJ125" s="882"/>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57"/>
      <c r="B126" s="960"/>
      <c r="C126" s="963"/>
      <c r="D126" s="1006"/>
      <c r="E126" s="972"/>
      <c r="F126" s="969"/>
      <c r="G126" s="991"/>
      <c r="H126" s="975"/>
      <c r="I126" s="979"/>
      <c r="J126" s="980"/>
      <c r="K126" s="1009"/>
      <c r="L126" s="987"/>
      <c r="M126" s="177"/>
      <c r="N126" s="178"/>
      <c r="O126" s="179"/>
      <c r="P126" s="106"/>
      <c r="Q126" s="107"/>
      <c r="R126" s="1012"/>
      <c r="S126" s="108"/>
      <c r="T126" s="891"/>
      <c r="U126" s="109"/>
      <c r="V126" s="891"/>
      <c r="W126" s="109"/>
      <c r="X126" s="891"/>
      <c r="Y126" s="109"/>
      <c r="Z126" s="891"/>
      <c r="AA126" s="109"/>
      <c r="AB126" s="891"/>
      <c r="AC126" s="109"/>
      <c r="AD126" s="891"/>
      <c r="AE126" s="109"/>
      <c r="AF126" s="891"/>
      <c r="AG126" s="110"/>
      <c r="AH126" s="857"/>
      <c r="AI126" s="857"/>
      <c r="AJ126" s="883"/>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8"/>
      <c r="B127" s="961"/>
      <c r="C127" s="964"/>
      <c r="D127" s="1007"/>
      <c r="E127" s="973"/>
      <c r="F127" s="970"/>
      <c r="G127" s="992"/>
      <c r="H127" s="976"/>
      <c r="I127" s="981"/>
      <c r="J127" s="982"/>
      <c r="K127" s="1010"/>
      <c r="L127" s="988"/>
      <c r="M127" s="180"/>
      <c r="N127" s="181"/>
      <c r="O127" s="182"/>
      <c r="P127" s="117"/>
      <c r="Q127" s="117"/>
      <c r="R127" s="1013"/>
      <c r="S127" s="183"/>
      <c r="T127" s="892"/>
      <c r="U127" s="184"/>
      <c r="V127" s="892"/>
      <c r="W127" s="184"/>
      <c r="X127" s="892"/>
      <c r="Y127" s="184"/>
      <c r="Z127" s="892"/>
      <c r="AA127" s="184"/>
      <c r="AB127" s="892"/>
      <c r="AC127" s="184"/>
      <c r="AD127" s="892"/>
      <c r="AE127" s="184"/>
      <c r="AF127" s="892"/>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9"/>
      <c r="J128" s="989"/>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6">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5"/>
      <c r="AI129" s="855"/>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1685</v>
      </c>
      <c r="BB129" s="44" t="s">
        <v>1686</v>
      </c>
      <c r="BC129" s="45" t="s">
        <v>1687</v>
      </c>
    </row>
    <row r="130" spans="1:55" ht="17.25" hidden="1" customHeight="1" x14ac:dyDescent="0.2">
      <c r="A130" s="957"/>
      <c r="B130" s="959" t="str">
        <f>VLOOKUP($D$9,'PROYECTOS REGISTRADOS'!$A$2:$D$82,4,0)</f>
        <v>Ampliación de programas para atención a la mujer en el Municipio de Tocancipá, Cundinamarca, Centro Oriente</v>
      </c>
      <c r="C130" s="962" t="str">
        <f>VLOOKUP($D$9,'PROYECTOS REGISTRADOS'!$A$2:$D$82,3,0)</f>
        <v>2016-25817-0031</v>
      </c>
      <c r="D130" s="1005"/>
      <c r="E130" s="971" t="str">
        <f>IF(D130=0,"0-0",(VLOOKUP(D130,#REF!,2,0)))</f>
        <v>0-0</v>
      </c>
      <c r="F130" s="968" t="str">
        <f>IF(D130=0,"0-0",(VLOOKUP(D130,#REF!,3,0)))</f>
        <v>0-0</v>
      </c>
      <c r="G130" s="990" t="str">
        <f>IF(D130=0,"0-0",(VLOOKUP(D130,#REF!,4,0)))</f>
        <v>0-0</v>
      </c>
      <c r="H130" s="974" t="str">
        <f>IF(D130=0,"0-0",(VLOOKUP(D130,#REF!,5,0)))</f>
        <v>0-0</v>
      </c>
      <c r="I130" s="977" t="str">
        <f>IF(D130=0,"0-0",(VLOOKUP(D130,#REF!,$R$3,0)))</f>
        <v>0-0</v>
      </c>
      <c r="J130" s="978"/>
      <c r="K130" s="1008"/>
      <c r="L130" s="986"/>
      <c r="M130" s="174"/>
      <c r="N130" s="175"/>
      <c r="O130" s="176"/>
      <c r="P130" s="46"/>
      <c r="Q130" s="47"/>
      <c r="R130" s="1011"/>
      <c r="S130" s="48"/>
      <c r="T130" s="890"/>
      <c r="U130" s="49"/>
      <c r="V130" s="890"/>
      <c r="W130" s="49"/>
      <c r="X130" s="890"/>
      <c r="Y130" s="49"/>
      <c r="Z130" s="890"/>
      <c r="AA130" s="49"/>
      <c r="AB130" s="890"/>
      <c r="AC130" s="49"/>
      <c r="AD130" s="890"/>
      <c r="AE130" s="49"/>
      <c r="AF130" s="890"/>
      <c r="AG130" s="50"/>
      <c r="AH130" s="856"/>
      <c r="AI130" s="856"/>
      <c r="AJ130" s="881">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57"/>
      <c r="B131" s="959"/>
      <c r="C131" s="962"/>
      <c r="D131" s="1005"/>
      <c r="E131" s="972"/>
      <c r="F131" s="968"/>
      <c r="G131" s="990"/>
      <c r="H131" s="974"/>
      <c r="I131" s="979"/>
      <c r="J131" s="980"/>
      <c r="K131" s="1008"/>
      <c r="L131" s="987"/>
      <c r="M131" s="174"/>
      <c r="N131" s="175"/>
      <c r="O131" s="176"/>
      <c r="P131" s="46"/>
      <c r="Q131" s="47"/>
      <c r="R131" s="1012"/>
      <c r="S131" s="48"/>
      <c r="T131" s="891"/>
      <c r="U131" s="49"/>
      <c r="V131" s="891"/>
      <c r="W131" s="49"/>
      <c r="X131" s="891"/>
      <c r="Y131" s="49"/>
      <c r="Z131" s="891"/>
      <c r="AA131" s="49"/>
      <c r="AB131" s="891"/>
      <c r="AC131" s="49"/>
      <c r="AD131" s="891"/>
      <c r="AE131" s="49"/>
      <c r="AF131" s="891"/>
      <c r="AG131" s="50"/>
      <c r="AH131" s="857"/>
      <c r="AI131" s="857"/>
      <c r="AJ131" s="882"/>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57"/>
      <c r="B132" s="959"/>
      <c r="C132" s="962"/>
      <c r="D132" s="1005"/>
      <c r="E132" s="972"/>
      <c r="F132" s="968"/>
      <c r="G132" s="990"/>
      <c r="H132" s="974"/>
      <c r="I132" s="979"/>
      <c r="J132" s="980"/>
      <c r="K132" s="1008"/>
      <c r="L132" s="987"/>
      <c r="M132" s="174"/>
      <c r="N132" s="175"/>
      <c r="O132" s="176"/>
      <c r="P132" s="46"/>
      <c r="Q132" s="47"/>
      <c r="R132" s="1012"/>
      <c r="S132" s="48"/>
      <c r="T132" s="891"/>
      <c r="U132" s="49"/>
      <c r="V132" s="891"/>
      <c r="W132" s="49"/>
      <c r="X132" s="891"/>
      <c r="Y132" s="49"/>
      <c r="Z132" s="891"/>
      <c r="AA132" s="49"/>
      <c r="AB132" s="891"/>
      <c r="AC132" s="49"/>
      <c r="AD132" s="891"/>
      <c r="AE132" s="49"/>
      <c r="AF132" s="891"/>
      <c r="AG132" s="50"/>
      <c r="AH132" s="857"/>
      <c r="AI132" s="857"/>
      <c r="AJ132" s="882"/>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57"/>
      <c r="B133" s="959"/>
      <c r="C133" s="962"/>
      <c r="D133" s="1005"/>
      <c r="E133" s="972"/>
      <c r="F133" s="968"/>
      <c r="G133" s="990"/>
      <c r="H133" s="974"/>
      <c r="I133" s="979"/>
      <c r="J133" s="980"/>
      <c r="K133" s="1008"/>
      <c r="L133" s="987"/>
      <c r="M133" s="174"/>
      <c r="N133" s="175"/>
      <c r="O133" s="176"/>
      <c r="P133" s="46"/>
      <c r="Q133" s="47"/>
      <c r="R133" s="1012"/>
      <c r="S133" s="48"/>
      <c r="T133" s="891"/>
      <c r="U133" s="49"/>
      <c r="V133" s="891"/>
      <c r="W133" s="49"/>
      <c r="X133" s="891"/>
      <c r="Y133" s="49"/>
      <c r="Z133" s="891"/>
      <c r="AA133" s="49"/>
      <c r="AB133" s="891"/>
      <c r="AC133" s="49"/>
      <c r="AD133" s="891"/>
      <c r="AE133" s="49"/>
      <c r="AF133" s="891"/>
      <c r="AG133" s="50"/>
      <c r="AH133" s="857"/>
      <c r="AI133" s="857"/>
      <c r="AJ133" s="882"/>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57"/>
      <c r="B134" s="959"/>
      <c r="C134" s="962"/>
      <c r="D134" s="1005"/>
      <c r="E134" s="972"/>
      <c r="F134" s="968"/>
      <c r="G134" s="990"/>
      <c r="H134" s="974"/>
      <c r="I134" s="979"/>
      <c r="J134" s="980"/>
      <c r="K134" s="1008"/>
      <c r="L134" s="987"/>
      <c r="M134" s="174"/>
      <c r="N134" s="175"/>
      <c r="O134" s="176"/>
      <c r="P134" s="46"/>
      <c r="Q134" s="47"/>
      <c r="R134" s="1012"/>
      <c r="S134" s="48"/>
      <c r="T134" s="891"/>
      <c r="U134" s="49"/>
      <c r="V134" s="891"/>
      <c r="W134" s="49"/>
      <c r="X134" s="891"/>
      <c r="Y134" s="49"/>
      <c r="Z134" s="891"/>
      <c r="AA134" s="49"/>
      <c r="AB134" s="891"/>
      <c r="AC134" s="49"/>
      <c r="AD134" s="891"/>
      <c r="AE134" s="49"/>
      <c r="AF134" s="891"/>
      <c r="AG134" s="50"/>
      <c r="AH134" s="857"/>
      <c r="AI134" s="857"/>
      <c r="AJ134" s="882"/>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57"/>
      <c r="B135" s="960"/>
      <c r="C135" s="963"/>
      <c r="D135" s="1006"/>
      <c r="E135" s="972"/>
      <c r="F135" s="969"/>
      <c r="G135" s="991"/>
      <c r="H135" s="975"/>
      <c r="I135" s="979"/>
      <c r="J135" s="980"/>
      <c r="K135" s="1009"/>
      <c r="L135" s="987"/>
      <c r="M135" s="177"/>
      <c r="N135" s="178"/>
      <c r="O135" s="179"/>
      <c r="P135" s="106"/>
      <c r="Q135" s="107"/>
      <c r="R135" s="1012"/>
      <c r="S135" s="108"/>
      <c r="T135" s="891"/>
      <c r="U135" s="109"/>
      <c r="V135" s="891"/>
      <c r="W135" s="109"/>
      <c r="X135" s="891"/>
      <c r="Y135" s="109"/>
      <c r="Z135" s="891"/>
      <c r="AA135" s="109"/>
      <c r="AB135" s="891"/>
      <c r="AC135" s="109"/>
      <c r="AD135" s="891"/>
      <c r="AE135" s="109"/>
      <c r="AF135" s="891"/>
      <c r="AG135" s="110"/>
      <c r="AH135" s="857"/>
      <c r="AI135" s="857"/>
      <c r="AJ135" s="883"/>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8"/>
      <c r="B136" s="961"/>
      <c r="C136" s="964"/>
      <c r="D136" s="1007"/>
      <c r="E136" s="973"/>
      <c r="F136" s="970"/>
      <c r="G136" s="992"/>
      <c r="H136" s="976"/>
      <c r="I136" s="981"/>
      <c r="J136" s="982"/>
      <c r="K136" s="1010"/>
      <c r="L136" s="988"/>
      <c r="M136" s="180"/>
      <c r="N136" s="181"/>
      <c r="O136" s="182"/>
      <c r="P136" s="117"/>
      <c r="Q136" s="117"/>
      <c r="R136" s="1013"/>
      <c r="S136" s="183"/>
      <c r="T136" s="892"/>
      <c r="U136" s="184"/>
      <c r="V136" s="892"/>
      <c r="W136" s="184"/>
      <c r="X136" s="892"/>
      <c r="Y136" s="184"/>
      <c r="Z136" s="892"/>
      <c r="AA136" s="184"/>
      <c r="AB136" s="892"/>
      <c r="AC136" s="184"/>
      <c r="AD136" s="892"/>
      <c r="AE136" s="184"/>
      <c r="AF136" s="892"/>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9"/>
      <c r="J137" s="989"/>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6">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5"/>
      <c r="AI138" s="855"/>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1685</v>
      </c>
      <c r="BB138" s="44" t="s">
        <v>1686</v>
      </c>
      <c r="BC138" s="45" t="s">
        <v>1687</v>
      </c>
    </row>
    <row r="139" spans="1:55" ht="17.25" hidden="1" customHeight="1" x14ac:dyDescent="0.2">
      <c r="A139" s="957"/>
      <c r="B139" s="959" t="str">
        <f>VLOOKUP($D$9,'PROYECTOS REGISTRADOS'!$A$2:$D$82,4,0)</f>
        <v>Ampliación de programas para atención a la mujer en el Municipio de Tocancipá, Cundinamarca, Centro Oriente</v>
      </c>
      <c r="C139" s="962" t="str">
        <f>VLOOKUP($D$9,'PROYECTOS REGISTRADOS'!$A$2:$D$82,3,0)</f>
        <v>2016-25817-0031</v>
      </c>
      <c r="D139" s="1005"/>
      <c r="E139" s="971" t="str">
        <f>IF(D139=0,"0-0",(VLOOKUP(D139,#REF!,2,0)))</f>
        <v>0-0</v>
      </c>
      <c r="F139" s="968" t="str">
        <f>IF(D139=0,"0-0",(VLOOKUP(D139,#REF!,3,0)))</f>
        <v>0-0</v>
      </c>
      <c r="G139" s="990" t="str">
        <f>IF(D139=0,"0-0",(VLOOKUP(D139,#REF!,4,0)))</f>
        <v>0-0</v>
      </c>
      <c r="H139" s="974" t="str">
        <f>IF(D139=0,"0-0",(VLOOKUP(D139,#REF!,5,0)))</f>
        <v>0-0</v>
      </c>
      <c r="I139" s="977" t="str">
        <f>IF(D139=0,"0-0",(VLOOKUP(D139,#REF!,$R$3,0)))</f>
        <v>0-0</v>
      </c>
      <c r="J139" s="978"/>
      <c r="K139" s="1008"/>
      <c r="L139" s="986"/>
      <c r="M139" s="174"/>
      <c r="N139" s="175"/>
      <c r="O139" s="176"/>
      <c r="P139" s="46"/>
      <c r="Q139" s="47"/>
      <c r="R139" s="1011"/>
      <c r="S139" s="48"/>
      <c r="T139" s="890"/>
      <c r="U139" s="49"/>
      <c r="V139" s="890"/>
      <c r="W139" s="49"/>
      <c r="X139" s="890"/>
      <c r="Y139" s="49"/>
      <c r="Z139" s="890"/>
      <c r="AA139" s="49"/>
      <c r="AB139" s="890"/>
      <c r="AC139" s="49"/>
      <c r="AD139" s="890"/>
      <c r="AE139" s="49"/>
      <c r="AF139" s="890"/>
      <c r="AG139" s="50"/>
      <c r="AH139" s="856"/>
      <c r="AI139" s="856"/>
      <c r="AJ139" s="881">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57"/>
      <c r="B140" s="959"/>
      <c r="C140" s="962"/>
      <c r="D140" s="1005"/>
      <c r="E140" s="972"/>
      <c r="F140" s="968"/>
      <c r="G140" s="990"/>
      <c r="H140" s="974"/>
      <c r="I140" s="979"/>
      <c r="J140" s="980"/>
      <c r="K140" s="1008"/>
      <c r="L140" s="987"/>
      <c r="M140" s="174"/>
      <c r="N140" s="175"/>
      <c r="O140" s="176"/>
      <c r="P140" s="46"/>
      <c r="Q140" s="47"/>
      <c r="R140" s="1012"/>
      <c r="S140" s="48"/>
      <c r="T140" s="891"/>
      <c r="U140" s="49"/>
      <c r="V140" s="891"/>
      <c r="W140" s="49"/>
      <c r="X140" s="891"/>
      <c r="Y140" s="49"/>
      <c r="Z140" s="891"/>
      <c r="AA140" s="49"/>
      <c r="AB140" s="891"/>
      <c r="AC140" s="49"/>
      <c r="AD140" s="891"/>
      <c r="AE140" s="49"/>
      <c r="AF140" s="891"/>
      <c r="AG140" s="50"/>
      <c r="AH140" s="857"/>
      <c r="AI140" s="857"/>
      <c r="AJ140" s="882"/>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57"/>
      <c r="B141" s="959"/>
      <c r="C141" s="962"/>
      <c r="D141" s="1005"/>
      <c r="E141" s="972"/>
      <c r="F141" s="968"/>
      <c r="G141" s="990"/>
      <c r="H141" s="974"/>
      <c r="I141" s="979"/>
      <c r="J141" s="980"/>
      <c r="K141" s="1008"/>
      <c r="L141" s="987"/>
      <c r="M141" s="174"/>
      <c r="N141" s="175"/>
      <c r="O141" s="176"/>
      <c r="P141" s="46"/>
      <c r="Q141" s="47"/>
      <c r="R141" s="1012"/>
      <c r="S141" s="48"/>
      <c r="T141" s="891"/>
      <c r="U141" s="49"/>
      <c r="V141" s="891"/>
      <c r="W141" s="49"/>
      <c r="X141" s="891"/>
      <c r="Y141" s="49"/>
      <c r="Z141" s="891"/>
      <c r="AA141" s="49"/>
      <c r="AB141" s="891"/>
      <c r="AC141" s="49"/>
      <c r="AD141" s="891"/>
      <c r="AE141" s="49"/>
      <c r="AF141" s="891"/>
      <c r="AG141" s="50"/>
      <c r="AH141" s="857"/>
      <c r="AI141" s="857"/>
      <c r="AJ141" s="882"/>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57"/>
      <c r="B142" s="959"/>
      <c r="C142" s="962"/>
      <c r="D142" s="1005"/>
      <c r="E142" s="972"/>
      <c r="F142" s="968"/>
      <c r="G142" s="990"/>
      <c r="H142" s="974"/>
      <c r="I142" s="979"/>
      <c r="J142" s="980"/>
      <c r="K142" s="1008"/>
      <c r="L142" s="987"/>
      <c r="M142" s="174"/>
      <c r="N142" s="175"/>
      <c r="O142" s="176"/>
      <c r="P142" s="46"/>
      <c r="Q142" s="47"/>
      <c r="R142" s="1012"/>
      <c r="S142" s="48"/>
      <c r="T142" s="891"/>
      <c r="U142" s="49"/>
      <c r="V142" s="891"/>
      <c r="W142" s="49"/>
      <c r="X142" s="891"/>
      <c r="Y142" s="49"/>
      <c r="Z142" s="891"/>
      <c r="AA142" s="49"/>
      <c r="AB142" s="891"/>
      <c r="AC142" s="49"/>
      <c r="AD142" s="891"/>
      <c r="AE142" s="49"/>
      <c r="AF142" s="891"/>
      <c r="AG142" s="50"/>
      <c r="AH142" s="857"/>
      <c r="AI142" s="857"/>
      <c r="AJ142" s="882"/>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57"/>
      <c r="B143" s="959"/>
      <c r="C143" s="962"/>
      <c r="D143" s="1005"/>
      <c r="E143" s="972"/>
      <c r="F143" s="968"/>
      <c r="G143" s="990"/>
      <c r="H143" s="974"/>
      <c r="I143" s="979"/>
      <c r="J143" s="980"/>
      <c r="K143" s="1008"/>
      <c r="L143" s="987"/>
      <c r="M143" s="174"/>
      <c r="N143" s="175"/>
      <c r="O143" s="176"/>
      <c r="P143" s="46"/>
      <c r="Q143" s="47"/>
      <c r="R143" s="1012"/>
      <c r="S143" s="48"/>
      <c r="T143" s="891"/>
      <c r="U143" s="49"/>
      <c r="V143" s="891"/>
      <c r="W143" s="49"/>
      <c r="X143" s="891"/>
      <c r="Y143" s="49"/>
      <c r="Z143" s="891"/>
      <c r="AA143" s="49"/>
      <c r="AB143" s="891"/>
      <c r="AC143" s="49"/>
      <c r="AD143" s="891"/>
      <c r="AE143" s="49"/>
      <c r="AF143" s="891"/>
      <c r="AG143" s="50"/>
      <c r="AH143" s="857"/>
      <c r="AI143" s="857"/>
      <c r="AJ143" s="882"/>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57"/>
      <c r="B144" s="960"/>
      <c r="C144" s="963"/>
      <c r="D144" s="1006"/>
      <c r="E144" s="972"/>
      <c r="F144" s="969"/>
      <c r="G144" s="991"/>
      <c r="H144" s="975"/>
      <c r="I144" s="979"/>
      <c r="J144" s="980"/>
      <c r="K144" s="1009"/>
      <c r="L144" s="987"/>
      <c r="M144" s="177"/>
      <c r="N144" s="178"/>
      <c r="O144" s="179"/>
      <c r="P144" s="106"/>
      <c r="Q144" s="107"/>
      <c r="R144" s="1012"/>
      <c r="S144" s="108"/>
      <c r="T144" s="891"/>
      <c r="U144" s="109"/>
      <c r="V144" s="891"/>
      <c r="W144" s="109"/>
      <c r="X144" s="891"/>
      <c r="Y144" s="109"/>
      <c r="Z144" s="891"/>
      <c r="AA144" s="109"/>
      <c r="AB144" s="891"/>
      <c r="AC144" s="109"/>
      <c r="AD144" s="891"/>
      <c r="AE144" s="109"/>
      <c r="AF144" s="891"/>
      <c r="AG144" s="110"/>
      <c r="AH144" s="857"/>
      <c r="AI144" s="857"/>
      <c r="AJ144" s="883"/>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8"/>
      <c r="B145" s="961"/>
      <c r="C145" s="964"/>
      <c r="D145" s="1007"/>
      <c r="E145" s="973"/>
      <c r="F145" s="970"/>
      <c r="G145" s="992"/>
      <c r="H145" s="976"/>
      <c r="I145" s="981"/>
      <c r="J145" s="982"/>
      <c r="K145" s="1010"/>
      <c r="L145" s="988"/>
      <c r="M145" s="180"/>
      <c r="N145" s="181"/>
      <c r="O145" s="182"/>
      <c r="P145" s="117"/>
      <c r="Q145" s="117"/>
      <c r="R145" s="1013"/>
      <c r="S145" s="183"/>
      <c r="T145" s="892"/>
      <c r="U145" s="184"/>
      <c r="V145" s="892"/>
      <c r="W145" s="184"/>
      <c r="X145" s="892"/>
      <c r="Y145" s="184"/>
      <c r="Z145" s="892"/>
      <c r="AA145" s="184"/>
      <c r="AB145" s="892"/>
      <c r="AC145" s="184"/>
      <c r="AD145" s="892"/>
      <c r="AE145" s="184"/>
      <c r="AF145" s="892"/>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9"/>
      <c r="J146" s="989"/>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6">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5"/>
      <c r="AI147" s="855"/>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1685</v>
      </c>
      <c r="BB147" s="44" t="s">
        <v>1686</v>
      </c>
      <c r="BC147" s="45" t="s">
        <v>1687</v>
      </c>
    </row>
    <row r="148" spans="1:55" ht="17.25" hidden="1" customHeight="1" x14ac:dyDescent="0.2">
      <c r="A148" s="957"/>
      <c r="B148" s="959" t="str">
        <f>VLOOKUP($D$9,'PROYECTOS REGISTRADOS'!$A$2:$D$82,4,0)</f>
        <v>Ampliación de programas para atención a la mujer en el Municipio de Tocancipá, Cundinamarca, Centro Oriente</v>
      </c>
      <c r="C148" s="962" t="str">
        <f>VLOOKUP($D$9,'PROYECTOS REGISTRADOS'!$A$2:$D$82,3,0)</f>
        <v>2016-25817-0031</v>
      </c>
      <c r="D148" s="1005"/>
      <c r="E148" s="971" t="str">
        <f>IF(D148=0,"0-0",(VLOOKUP(D148,#REF!,2,0)))</f>
        <v>0-0</v>
      </c>
      <c r="F148" s="968" t="str">
        <f>IF(D148=0,"0-0",(VLOOKUP(D148,#REF!,3,0)))</f>
        <v>0-0</v>
      </c>
      <c r="G148" s="990" t="str">
        <f>IF(D148=0,"0-0",(VLOOKUP(D148,#REF!,4,0)))</f>
        <v>0-0</v>
      </c>
      <c r="H148" s="974" t="str">
        <f>IF(D148=0,"0-0",(VLOOKUP(D148,#REF!,5,0)))</f>
        <v>0-0</v>
      </c>
      <c r="I148" s="977" t="str">
        <f>IF(D148=0,"0-0",(VLOOKUP(D148,#REF!,$R$3,0)))</f>
        <v>0-0</v>
      </c>
      <c r="J148" s="978"/>
      <c r="K148" s="1008"/>
      <c r="L148" s="986"/>
      <c r="M148" s="174"/>
      <c r="N148" s="175"/>
      <c r="O148" s="176"/>
      <c r="P148" s="46"/>
      <c r="Q148" s="47"/>
      <c r="R148" s="1011"/>
      <c r="S148" s="48"/>
      <c r="T148" s="890"/>
      <c r="U148" s="49"/>
      <c r="V148" s="890"/>
      <c r="W148" s="49"/>
      <c r="X148" s="890"/>
      <c r="Y148" s="49"/>
      <c r="Z148" s="890"/>
      <c r="AA148" s="49"/>
      <c r="AB148" s="890"/>
      <c r="AC148" s="49"/>
      <c r="AD148" s="890"/>
      <c r="AE148" s="49"/>
      <c r="AF148" s="890"/>
      <c r="AG148" s="50"/>
      <c r="AH148" s="856"/>
      <c r="AI148" s="856"/>
      <c r="AJ148" s="881">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57"/>
      <c r="B149" s="959"/>
      <c r="C149" s="962"/>
      <c r="D149" s="1005"/>
      <c r="E149" s="972"/>
      <c r="F149" s="968"/>
      <c r="G149" s="990"/>
      <c r="H149" s="974"/>
      <c r="I149" s="979"/>
      <c r="J149" s="980"/>
      <c r="K149" s="1008"/>
      <c r="L149" s="987"/>
      <c r="M149" s="174"/>
      <c r="N149" s="175"/>
      <c r="O149" s="176"/>
      <c r="P149" s="46"/>
      <c r="Q149" s="47"/>
      <c r="R149" s="1012"/>
      <c r="S149" s="48"/>
      <c r="T149" s="891"/>
      <c r="U149" s="49"/>
      <c r="V149" s="891"/>
      <c r="W149" s="49"/>
      <c r="X149" s="891"/>
      <c r="Y149" s="49"/>
      <c r="Z149" s="891"/>
      <c r="AA149" s="49"/>
      <c r="AB149" s="891"/>
      <c r="AC149" s="49"/>
      <c r="AD149" s="891"/>
      <c r="AE149" s="49"/>
      <c r="AF149" s="891"/>
      <c r="AG149" s="50"/>
      <c r="AH149" s="857"/>
      <c r="AI149" s="857"/>
      <c r="AJ149" s="882"/>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57"/>
      <c r="B150" s="959"/>
      <c r="C150" s="962"/>
      <c r="D150" s="1005"/>
      <c r="E150" s="972"/>
      <c r="F150" s="968"/>
      <c r="G150" s="990"/>
      <c r="H150" s="974"/>
      <c r="I150" s="979"/>
      <c r="J150" s="980"/>
      <c r="K150" s="1008"/>
      <c r="L150" s="987"/>
      <c r="M150" s="174"/>
      <c r="N150" s="175"/>
      <c r="O150" s="176"/>
      <c r="P150" s="46"/>
      <c r="Q150" s="47"/>
      <c r="R150" s="1012"/>
      <c r="S150" s="48"/>
      <c r="T150" s="891"/>
      <c r="U150" s="49"/>
      <c r="V150" s="891"/>
      <c r="W150" s="49"/>
      <c r="X150" s="891"/>
      <c r="Y150" s="49"/>
      <c r="Z150" s="891"/>
      <c r="AA150" s="49"/>
      <c r="AB150" s="891"/>
      <c r="AC150" s="49"/>
      <c r="AD150" s="891"/>
      <c r="AE150" s="49"/>
      <c r="AF150" s="891"/>
      <c r="AG150" s="50"/>
      <c r="AH150" s="857"/>
      <c r="AI150" s="857"/>
      <c r="AJ150" s="882"/>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57"/>
      <c r="B151" s="959"/>
      <c r="C151" s="962"/>
      <c r="D151" s="1005"/>
      <c r="E151" s="972"/>
      <c r="F151" s="968"/>
      <c r="G151" s="990"/>
      <c r="H151" s="974"/>
      <c r="I151" s="979"/>
      <c r="J151" s="980"/>
      <c r="K151" s="1008"/>
      <c r="L151" s="987"/>
      <c r="M151" s="174"/>
      <c r="N151" s="175"/>
      <c r="O151" s="176"/>
      <c r="P151" s="46"/>
      <c r="Q151" s="47"/>
      <c r="R151" s="1012"/>
      <c r="S151" s="48"/>
      <c r="T151" s="891"/>
      <c r="U151" s="49"/>
      <c r="V151" s="891"/>
      <c r="W151" s="49"/>
      <c r="X151" s="891"/>
      <c r="Y151" s="49"/>
      <c r="Z151" s="891"/>
      <c r="AA151" s="49"/>
      <c r="AB151" s="891"/>
      <c r="AC151" s="49"/>
      <c r="AD151" s="891"/>
      <c r="AE151" s="49"/>
      <c r="AF151" s="891"/>
      <c r="AG151" s="50"/>
      <c r="AH151" s="857"/>
      <c r="AI151" s="857"/>
      <c r="AJ151" s="882"/>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57"/>
      <c r="B152" s="959"/>
      <c r="C152" s="962"/>
      <c r="D152" s="1005"/>
      <c r="E152" s="972"/>
      <c r="F152" s="968"/>
      <c r="G152" s="990"/>
      <c r="H152" s="974"/>
      <c r="I152" s="979"/>
      <c r="J152" s="980"/>
      <c r="K152" s="1008"/>
      <c r="L152" s="987"/>
      <c r="M152" s="174"/>
      <c r="N152" s="175"/>
      <c r="O152" s="176"/>
      <c r="P152" s="46"/>
      <c r="Q152" s="47"/>
      <c r="R152" s="1012"/>
      <c r="S152" s="48"/>
      <c r="T152" s="891"/>
      <c r="U152" s="49"/>
      <c r="V152" s="891"/>
      <c r="W152" s="49"/>
      <c r="X152" s="891"/>
      <c r="Y152" s="49"/>
      <c r="Z152" s="891"/>
      <c r="AA152" s="49"/>
      <c r="AB152" s="891"/>
      <c r="AC152" s="49"/>
      <c r="AD152" s="891"/>
      <c r="AE152" s="49"/>
      <c r="AF152" s="891"/>
      <c r="AG152" s="50"/>
      <c r="AH152" s="857"/>
      <c r="AI152" s="857"/>
      <c r="AJ152" s="882"/>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57"/>
      <c r="B153" s="960"/>
      <c r="C153" s="963"/>
      <c r="D153" s="1006"/>
      <c r="E153" s="972"/>
      <c r="F153" s="969"/>
      <c r="G153" s="991"/>
      <c r="H153" s="975"/>
      <c r="I153" s="979"/>
      <c r="J153" s="980"/>
      <c r="K153" s="1009"/>
      <c r="L153" s="987"/>
      <c r="M153" s="177"/>
      <c r="N153" s="178"/>
      <c r="O153" s="179"/>
      <c r="P153" s="106"/>
      <c r="Q153" s="107"/>
      <c r="R153" s="1012"/>
      <c r="S153" s="108"/>
      <c r="T153" s="891"/>
      <c r="U153" s="109"/>
      <c r="V153" s="891"/>
      <c r="W153" s="109"/>
      <c r="X153" s="891"/>
      <c r="Y153" s="109"/>
      <c r="Z153" s="891"/>
      <c r="AA153" s="109"/>
      <c r="AB153" s="891"/>
      <c r="AC153" s="109"/>
      <c r="AD153" s="891"/>
      <c r="AE153" s="109"/>
      <c r="AF153" s="891"/>
      <c r="AG153" s="110"/>
      <c r="AH153" s="857"/>
      <c r="AI153" s="857"/>
      <c r="AJ153" s="883"/>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8"/>
      <c r="B154" s="961"/>
      <c r="C154" s="964"/>
      <c r="D154" s="1007"/>
      <c r="E154" s="973"/>
      <c r="F154" s="970"/>
      <c r="G154" s="992"/>
      <c r="H154" s="976"/>
      <c r="I154" s="981"/>
      <c r="J154" s="982"/>
      <c r="K154" s="1010"/>
      <c r="L154" s="988"/>
      <c r="M154" s="180"/>
      <c r="N154" s="181"/>
      <c r="O154" s="182"/>
      <c r="P154" s="117"/>
      <c r="Q154" s="117"/>
      <c r="R154" s="1013"/>
      <c r="S154" s="183"/>
      <c r="T154" s="892"/>
      <c r="U154" s="184"/>
      <c r="V154" s="892"/>
      <c r="W154" s="184"/>
      <c r="X154" s="892"/>
      <c r="Y154" s="184"/>
      <c r="Z154" s="892"/>
      <c r="AA154" s="184"/>
      <c r="AB154" s="892"/>
      <c r="AC154" s="184"/>
      <c r="AD154" s="892"/>
      <c r="AE154" s="184"/>
      <c r="AF154" s="892"/>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9"/>
      <c r="J155" s="989"/>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6">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5"/>
      <c r="AI156" s="855"/>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1685</v>
      </c>
      <c r="BB156" s="44" t="s">
        <v>1686</v>
      </c>
      <c r="BC156" s="45" t="s">
        <v>1687</v>
      </c>
    </row>
    <row r="157" spans="1:55" ht="17.25" hidden="1" customHeight="1" x14ac:dyDescent="0.2">
      <c r="A157" s="957"/>
      <c r="B157" s="959" t="str">
        <f>VLOOKUP($D$9,'PROYECTOS REGISTRADOS'!$A$2:$D$82,4,0)</f>
        <v>Ampliación de programas para atención a la mujer en el Municipio de Tocancipá, Cundinamarca, Centro Oriente</v>
      </c>
      <c r="C157" s="962" t="str">
        <f>VLOOKUP($D$9,'PROYECTOS REGISTRADOS'!$A$2:$D$82,3,0)</f>
        <v>2016-25817-0031</v>
      </c>
      <c r="D157" s="1005"/>
      <c r="E157" s="971" t="str">
        <f>IF(D157=0,"0-0",(VLOOKUP(D157,#REF!,2,0)))</f>
        <v>0-0</v>
      </c>
      <c r="F157" s="968" t="str">
        <f>IF(D157=0,"0-0",(VLOOKUP(D157,#REF!,3,0)))</f>
        <v>0-0</v>
      </c>
      <c r="G157" s="990" t="str">
        <f>IF(D157=0,"0-0",(VLOOKUP(D157,#REF!,4,0)))</f>
        <v>0-0</v>
      </c>
      <c r="H157" s="974" t="str">
        <f>IF(D157=0,"0-0",(VLOOKUP(D157,#REF!,5,0)))</f>
        <v>0-0</v>
      </c>
      <c r="I157" s="977" t="str">
        <f>IF(D157=0,"0-0",(VLOOKUP(D157,#REF!,$R$3,0)))</f>
        <v>0-0</v>
      </c>
      <c r="J157" s="978"/>
      <c r="K157" s="1008"/>
      <c r="L157" s="986"/>
      <c r="M157" s="174"/>
      <c r="N157" s="175"/>
      <c r="O157" s="176"/>
      <c r="P157" s="46"/>
      <c r="Q157" s="47"/>
      <c r="R157" s="1011"/>
      <c r="S157" s="48"/>
      <c r="T157" s="890"/>
      <c r="U157" s="49"/>
      <c r="V157" s="890"/>
      <c r="W157" s="49"/>
      <c r="X157" s="890"/>
      <c r="Y157" s="49"/>
      <c r="Z157" s="890"/>
      <c r="AA157" s="49"/>
      <c r="AB157" s="890"/>
      <c r="AC157" s="49"/>
      <c r="AD157" s="890"/>
      <c r="AE157" s="49"/>
      <c r="AF157" s="890"/>
      <c r="AG157" s="50"/>
      <c r="AH157" s="856"/>
      <c r="AI157" s="856"/>
      <c r="AJ157" s="881">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57"/>
      <c r="B158" s="959"/>
      <c r="C158" s="962"/>
      <c r="D158" s="1005"/>
      <c r="E158" s="972"/>
      <c r="F158" s="968"/>
      <c r="G158" s="990"/>
      <c r="H158" s="974"/>
      <c r="I158" s="979"/>
      <c r="J158" s="980"/>
      <c r="K158" s="1008"/>
      <c r="L158" s="987"/>
      <c r="M158" s="174"/>
      <c r="N158" s="175"/>
      <c r="O158" s="176"/>
      <c r="P158" s="46"/>
      <c r="Q158" s="47"/>
      <c r="R158" s="1012"/>
      <c r="S158" s="48"/>
      <c r="T158" s="891"/>
      <c r="U158" s="49"/>
      <c r="V158" s="891"/>
      <c r="W158" s="49"/>
      <c r="X158" s="891"/>
      <c r="Y158" s="49"/>
      <c r="Z158" s="891"/>
      <c r="AA158" s="49"/>
      <c r="AB158" s="891"/>
      <c r="AC158" s="49"/>
      <c r="AD158" s="891"/>
      <c r="AE158" s="49"/>
      <c r="AF158" s="891"/>
      <c r="AG158" s="50"/>
      <c r="AH158" s="857"/>
      <c r="AI158" s="857"/>
      <c r="AJ158" s="882"/>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57"/>
      <c r="B159" s="959"/>
      <c r="C159" s="962"/>
      <c r="D159" s="1005"/>
      <c r="E159" s="972"/>
      <c r="F159" s="968"/>
      <c r="G159" s="990"/>
      <c r="H159" s="974"/>
      <c r="I159" s="979"/>
      <c r="J159" s="980"/>
      <c r="K159" s="1008"/>
      <c r="L159" s="987"/>
      <c r="M159" s="174"/>
      <c r="N159" s="175"/>
      <c r="O159" s="176"/>
      <c r="P159" s="46"/>
      <c r="Q159" s="47"/>
      <c r="R159" s="1012"/>
      <c r="S159" s="48"/>
      <c r="T159" s="891"/>
      <c r="U159" s="49"/>
      <c r="V159" s="891"/>
      <c r="W159" s="49"/>
      <c r="X159" s="891"/>
      <c r="Y159" s="49"/>
      <c r="Z159" s="891"/>
      <c r="AA159" s="49"/>
      <c r="AB159" s="891"/>
      <c r="AC159" s="49"/>
      <c r="AD159" s="891"/>
      <c r="AE159" s="49"/>
      <c r="AF159" s="891"/>
      <c r="AG159" s="50"/>
      <c r="AH159" s="857"/>
      <c r="AI159" s="857"/>
      <c r="AJ159" s="882"/>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57"/>
      <c r="B160" s="959"/>
      <c r="C160" s="962"/>
      <c r="D160" s="1005"/>
      <c r="E160" s="972"/>
      <c r="F160" s="968"/>
      <c r="G160" s="990"/>
      <c r="H160" s="974"/>
      <c r="I160" s="979"/>
      <c r="J160" s="980"/>
      <c r="K160" s="1008"/>
      <c r="L160" s="987"/>
      <c r="M160" s="174"/>
      <c r="N160" s="175"/>
      <c r="O160" s="176"/>
      <c r="P160" s="46"/>
      <c r="Q160" s="47"/>
      <c r="R160" s="1012"/>
      <c r="S160" s="48"/>
      <c r="T160" s="891"/>
      <c r="U160" s="49"/>
      <c r="V160" s="891"/>
      <c r="W160" s="49"/>
      <c r="X160" s="891"/>
      <c r="Y160" s="49"/>
      <c r="Z160" s="891"/>
      <c r="AA160" s="49"/>
      <c r="AB160" s="891"/>
      <c r="AC160" s="49"/>
      <c r="AD160" s="891"/>
      <c r="AE160" s="49"/>
      <c r="AF160" s="891"/>
      <c r="AG160" s="50"/>
      <c r="AH160" s="857"/>
      <c r="AI160" s="857"/>
      <c r="AJ160" s="882"/>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57"/>
      <c r="B161" s="959"/>
      <c r="C161" s="962"/>
      <c r="D161" s="1005"/>
      <c r="E161" s="972"/>
      <c r="F161" s="968"/>
      <c r="G161" s="990"/>
      <c r="H161" s="974"/>
      <c r="I161" s="979"/>
      <c r="J161" s="980"/>
      <c r="K161" s="1008"/>
      <c r="L161" s="987"/>
      <c r="M161" s="174"/>
      <c r="N161" s="175"/>
      <c r="O161" s="176"/>
      <c r="P161" s="46"/>
      <c r="Q161" s="47"/>
      <c r="R161" s="1012"/>
      <c r="S161" s="48"/>
      <c r="T161" s="891"/>
      <c r="U161" s="49"/>
      <c r="V161" s="891"/>
      <c r="W161" s="49"/>
      <c r="X161" s="891"/>
      <c r="Y161" s="49"/>
      <c r="Z161" s="891"/>
      <c r="AA161" s="49"/>
      <c r="AB161" s="891"/>
      <c r="AC161" s="49"/>
      <c r="AD161" s="891"/>
      <c r="AE161" s="49"/>
      <c r="AF161" s="891"/>
      <c r="AG161" s="50"/>
      <c r="AH161" s="857"/>
      <c r="AI161" s="857"/>
      <c r="AJ161" s="882"/>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57"/>
      <c r="B162" s="960"/>
      <c r="C162" s="963"/>
      <c r="D162" s="1006"/>
      <c r="E162" s="972"/>
      <c r="F162" s="969"/>
      <c r="G162" s="991"/>
      <c r="H162" s="975"/>
      <c r="I162" s="979"/>
      <c r="J162" s="980"/>
      <c r="K162" s="1009"/>
      <c r="L162" s="987"/>
      <c r="M162" s="177"/>
      <c r="N162" s="178"/>
      <c r="O162" s="179"/>
      <c r="P162" s="106"/>
      <c r="Q162" s="107"/>
      <c r="R162" s="1012"/>
      <c r="S162" s="108"/>
      <c r="T162" s="891"/>
      <c r="U162" s="109"/>
      <c r="V162" s="891"/>
      <c r="W162" s="109"/>
      <c r="X162" s="891"/>
      <c r="Y162" s="109"/>
      <c r="Z162" s="891"/>
      <c r="AA162" s="109"/>
      <c r="AB162" s="891"/>
      <c r="AC162" s="109"/>
      <c r="AD162" s="891"/>
      <c r="AE162" s="109"/>
      <c r="AF162" s="891"/>
      <c r="AG162" s="110"/>
      <c r="AH162" s="857"/>
      <c r="AI162" s="857"/>
      <c r="AJ162" s="883"/>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8"/>
      <c r="B163" s="961"/>
      <c r="C163" s="964"/>
      <c r="D163" s="1007"/>
      <c r="E163" s="973"/>
      <c r="F163" s="970"/>
      <c r="G163" s="992"/>
      <c r="H163" s="976"/>
      <c r="I163" s="981"/>
      <c r="J163" s="982"/>
      <c r="K163" s="1010"/>
      <c r="L163" s="988"/>
      <c r="M163" s="180"/>
      <c r="N163" s="181"/>
      <c r="O163" s="182"/>
      <c r="P163" s="117"/>
      <c r="Q163" s="117"/>
      <c r="R163" s="1013"/>
      <c r="S163" s="183"/>
      <c r="T163" s="892"/>
      <c r="U163" s="184"/>
      <c r="V163" s="892"/>
      <c r="W163" s="184"/>
      <c r="X163" s="892"/>
      <c r="Y163" s="184"/>
      <c r="Z163" s="892"/>
      <c r="AA163" s="184"/>
      <c r="AB163" s="892"/>
      <c r="AC163" s="184"/>
      <c r="AD163" s="892"/>
      <c r="AE163" s="184"/>
      <c r="AF163" s="892"/>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9"/>
      <c r="J164" s="989"/>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6">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5"/>
      <c r="AI165" s="855"/>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1685</v>
      </c>
      <c r="BB165" s="44" t="s">
        <v>1686</v>
      </c>
      <c r="BC165" s="45" t="s">
        <v>1687</v>
      </c>
    </row>
    <row r="166" spans="1:55" ht="17.25" hidden="1" customHeight="1" x14ac:dyDescent="0.2">
      <c r="A166" s="957"/>
      <c r="B166" s="959" t="str">
        <f>VLOOKUP($D$9,'PROYECTOS REGISTRADOS'!$A$2:$D$82,4,0)</f>
        <v>Ampliación de programas para atención a la mujer en el Municipio de Tocancipá, Cundinamarca, Centro Oriente</v>
      </c>
      <c r="C166" s="962" t="str">
        <f>VLOOKUP($D$9,'PROYECTOS REGISTRADOS'!$A$2:$D$82,3,0)</f>
        <v>2016-25817-0031</v>
      </c>
      <c r="D166" s="1005"/>
      <c r="E166" s="971" t="str">
        <f>IF(D166=0,"0-0",(VLOOKUP(D166,#REF!,2,0)))</f>
        <v>0-0</v>
      </c>
      <c r="F166" s="968" t="str">
        <f>IF(D166=0,"0-0",(VLOOKUP(D166,#REF!,3,0)))</f>
        <v>0-0</v>
      </c>
      <c r="G166" s="990" t="str">
        <f>IF(D166=0,"0-0",(VLOOKUP(D166,#REF!,4,0)))</f>
        <v>0-0</v>
      </c>
      <c r="H166" s="974" t="str">
        <f>IF(D166=0,"0-0",(VLOOKUP(D166,#REF!,5,0)))</f>
        <v>0-0</v>
      </c>
      <c r="I166" s="977" t="str">
        <f>IF(D166=0,"0-0",(VLOOKUP(D166,#REF!,$R$3,0)))</f>
        <v>0-0</v>
      </c>
      <c r="J166" s="978"/>
      <c r="K166" s="1008"/>
      <c r="L166" s="986"/>
      <c r="M166" s="174"/>
      <c r="N166" s="175"/>
      <c r="O166" s="176"/>
      <c r="P166" s="46"/>
      <c r="Q166" s="47"/>
      <c r="R166" s="1011"/>
      <c r="S166" s="48"/>
      <c r="T166" s="890"/>
      <c r="U166" s="49"/>
      <c r="V166" s="890"/>
      <c r="W166" s="49"/>
      <c r="X166" s="890"/>
      <c r="Y166" s="49"/>
      <c r="Z166" s="890"/>
      <c r="AA166" s="49"/>
      <c r="AB166" s="890"/>
      <c r="AC166" s="49"/>
      <c r="AD166" s="890"/>
      <c r="AE166" s="49"/>
      <c r="AF166" s="890"/>
      <c r="AG166" s="50"/>
      <c r="AH166" s="856"/>
      <c r="AI166" s="856"/>
      <c r="AJ166" s="881">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57"/>
      <c r="B167" s="959"/>
      <c r="C167" s="962"/>
      <c r="D167" s="1005"/>
      <c r="E167" s="972"/>
      <c r="F167" s="968"/>
      <c r="G167" s="990"/>
      <c r="H167" s="974"/>
      <c r="I167" s="979"/>
      <c r="J167" s="980"/>
      <c r="K167" s="1008"/>
      <c r="L167" s="987"/>
      <c r="M167" s="174"/>
      <c r="N167" s="175"/>
      <c r="O167" s="176"/>
      <c r="P167" s="46"/>
      <c r="Q167" s="47"/>
      <c r="R167" s="1012"/>
      <c r="S167" s="48"/>
      <c r="T167" s="891"/>
      <c r="U167" s="49"/>
      <c r="V167" s="891"/>
      <c r="W167" s="49"/>
      <c r="X167" s="891"/>
      <c r="Y167" s="49"/>
      <c r="Z167" s="891"/>
      <c r="AA167" s="49"/>
      <c r="AB167" s="891"/>
      <c r="AC167" s="49"/>
      <c r="AD167" s="891"/>
      <c r="AE167" s="49"/>
      <c r="AF167" s="891"/>
      <c r="AG167" s="50"/>
      <c r="AH167" s="857"/>
      <c r="AI167" s="857"/>
      <c r="AJ167" s="882"/>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57"/>
      <c r="B168" s="959"/>
      <c r="C168" s="962"/>
      <c r="D168" s="1005"/>
      <c r="E168" s="972"/>
      <c r="F168" s="968"/>
      <c r="G168" s="990"/>
      <c r="H168" s="974"/>
      <c r="I168" s="979"/>
      <c r="J168" s="980"/>
      <c r="K168" s="1008"/>
      <c r="L168" s="987"/>
      <c r="M168" s="174"/>
      <c r="N168" s="175"/>
      <c r="O168" s="176"/>
      <c r="P168" s="46"/>
      <c r="Q168" s="47"/>
      <c r="R168" s="1012"/>
      <c r="S168" s="48"/>
      <c r="T168" s="891"/>
      <c r="U168" s="49"/>
      <c r="V168" s="891"/>
      <c r="W168" s="49"/>
      <c r="X168" s="891"/>
      <c r="Y168" s="49"/>
      <c r="Z168" s="891"/>
      <c r="AA168" s="49"/>
      <c r="AB168" s="891"/>
      <c r="AC168" s="49"/>
      <c r="AD168" s="891"/>
      <c r="AE168" s="49"/>
      <c r="AF168" s="891"/>
      <c r="AG168" s="50"/>
      <c r="AH168" s="857"/>
      <c r="AI168" s="857"/>
      <c r="AJ168" s="882"/>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57"/>
      <c r="B169" s="959"/>
      <c r="C169" s="962"/>
      <c r="D169" s="1005"/>
      <c r="E169" s="972"/>
      <c r="F169" s="968"/>
      <c r="G169" s="990"/>
      <c r="H169" s="974"/>
      <c r="I169" s="979"/>
      <c r="J169" s="980"/>
      <c r="K169" s="1008"/>
      <c r="L169" s="987"/>
      <c r="M169" s="174"/>
      <c r="N169" s="175"/>
      <c r="O169" s="176"/>
      <c r="P169" s="46"/>
      <c r="Q169" s="47"/>
      <c r="R169" s="1012"/>
      <c r="S169" s="48"/>
      <c r="T169" s="891"/>
      <c r="U169" s="49"/>
      <c r="V169" s="891"/>
      <c r="W169" s="49"/>
      <c r="X169" s="891"/>
      <c r="Y169" s="49"/>
      <c r="Z169" s="891"/>
      <c r="AA169" s="49"/>
      <c r="AB169" s="891"/>
      <c r="AC169" s="49"/>
      <c r="AD169" s="891"/>
      <c r="AE169" s="49"/>
      <c r="AF169" s="891"/>
      <c r="AG169" s="50"/>
      <c r="AH169" s="857"/>
      <c r="AI169" s="857"/>
      <c r="AJ169" s="882"/>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57"/>
      <c r="B170" s="959"/>
      <c r="C170" s="962"/>
      <c r="D170" s="1005"/>
      <c r="E170" s="972"/>
      <c r="F170" s="968"/>
      <c r="G170" s="990"/>
      <c r="H170" s="974"/>
      <c r="I170" s="979"/>
      <c r="J170" s="980"/>
      <c r="K170" s="1008"/>
      <c r="L170" s="987"/>
      <c r="M170" s="174"/>
      <c r="N170" s="175"/>
      <c r="O170" s="176"/>
      <c r="P170" s="46"/>
      <c r="Q170" s="47"/>
      <c r="R170" s="1012"/>
      <c r="S170" s="48"/>
      <c r="T170" s="891"/>
      <c r="U170" s="49"/>
      <c r="V170" s="891"/>
      <c r="W170" s="49"/>
      <c r="X170" s="891"/>
      <c r="Y170" s="49"/>
      <c r="Z170" s="891"/>
      <c r="AA170" s="49"/>
      <c r="AB170" s="891"/>
      <c r="AC170" s="49"/>
      <c r="AD170" s="891"/>
      <c r="AE170" s="49"/>
      <c r="AF170" s="891"/>
      <c r="AG170" s="50"/>
      <c r="AH170" s="857"/>
      <c r="AI170" s="857"/>
      <c r="AJ170" s="882"/>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57"/>
      <c r="B171" s="960"/>
      <c r="C171" s="963"/>
      <c r="D171" s="1006"/>
      <c r="E171" s="972"/>
      <c r="F171" s="969"/>
      <c r="G171" s="991"/>
      <c r="H171" s="975"/>
      <c r="I171" s="979"/>
      <c r="J171" s="980"/>
      <c r="K171" s="1009"/>
      <c r="L171" s="987"/>
      <c r="M171" s="177"/>
      <c r="N171" s="178"/>
      <c r="O171" s="179"/>
      <c r="P171" s="106"/>
      <c r="Q171" s="107"/>
      <c r="R171" s="1012"/>
      <c r="S171" s="108"/>
      <c r="T171" s="891"/>
      <c r="U171" s="109"/>
      <c r="V171" s="891"/>
      <c r="W171" s="109"/>
      <c r="X171" s="891"/>
      <c r="Y171" s="109"/>
      <c r="Z171" s="891"/>
      <c r="AA171" s="109"/>
      <c r="AB171" s="891"/>
      <c r="AC171" s="109"/>
      <c r="AD171" s="891"/>
      <c r="AE171" s="109"/>
      <c r="AF171" s="891"/>
      <c r="AG171" s="110"/>
      <c r="AH171" s="857"/>
      <c r="AI171" s="857"/>
      <c r="AJ171" s="883"/>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8"/>
      <c r="B172" s="961"/>
      <c r="C172" s="964"/>
      <c r="D172" s="1007"/>
      <c r="E172" s="973"/>
      <c r="F172" s="970"/>
      <c r="G172" s="992"/>
      <c r="H172" s="976"/>
      <c r="I172" s="981"/>
      <c r="J172" s="982"/>
      <c r="K172" s="1010"/>
      <c r="L172" s="988"/>
      <c r="M172" s="180"/>
      <c r="N172" s="181"/>
      <c r="O172" s="182"/>
      <c r="P172" s="117"/>
      <c r="Q172" s="117"/>
      <c r="R172" s="1013"/>
      <c r="S172" s="183"/>
      <c r="T172" s="892"/>
      <c r="U172" s="184"/>
      <c r="V172" s="892"/>
      <c r="W172" s="184"/>
      <c r="X172" s="892"/>
      <c r="Y172" s="184"/>
      <c r="Z172" s="892"/>
      <c r="AA172" s="184"/>
      <c r="AB172" s="892"/>
      <c r="AC172" s="184"/>
      <c r="AD172" s="892"/>
      <c r="AE172" s="184"/>
      <c r="AF172" s="892"/>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9"/>
      <c r="J173" s="989"/>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6">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5"/>
      <c r="AI174" s="855"/>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1685</v>
      </c>
      <c r="BB174" s="44" t="s">
        <v>1686</v>
      </c>
      <c r="BC174" s="45" t="s">
        <v>1687</v>
      </c>
    </row>
    <row r="175" spans="1:55" ht="17.25" hidden="1" customHeight="1" x14ac:dyDescent="0.2">
      <c r="A175" s="957"/>
      <c r="B175" s="959" t="str">
        <f>VLOOKUP($D$9,'PROYECTOS REGISTRADOS'!$A$2:$D$82,4,0)</f>
        <v>Ampliación de programas para atención a la mujer en el Municipio de Tocancipá, Cundinamarca, Centro Oriente</v>
      </c>
      <c r="C175" s="962" t="str">
        <f>VLOOKUP($D$9,'PROYECTOS REGISTRADOS'!$A$2:$D$82,3,0)</f>
        <v>2016-25817-0031</v>
      </c>
      <c r="D175" s="1005"/>
      <c r="E175" s="971" t="str">
        <f>IF(D175=0,"0-0",(VLOOKUP(D175,#REF!,2,0)))</f>
        <v>0-0</v>
      </c>
      <c r="F175" s="968" t="str">
        <f>IF(D175=0,"0-0",(VLOOKUP(D175,#REF!,3,0)))</f>
        <v>0-0</v>
      </c>
      <c r="G175" s="990" t="str">
        <f>IF(D175=0,"0-0",(VLOOKUP(D175,#REF!,4,0)))</f>
        <v>0-0</v>
      </c>
      <c r="H175" s="974" t="str">
        <f>IF(D175=0,"0-0",(VLOOKUP(D175,#REF!,5,0)))</f>
        <v>0-0</v>
      </c>
      <c r="I175" s="977" t="str">
        <f>IF(D175=0,"0-0",(VLOOKUP(D175,#REF!,$R$3,0)))</f>
        <v>0-0</v>
      </c>
      <c r="J175" s="978"/>
      <c r="K175" s="1008"/>
      <c r="L175" s="986"/>
      <c r="M175" s="174"/>
      <c r="N175" s="175"/>
      <c r="O175" s="176"/>
      <c r="P175" s="46"/>
      <c r="Q175" s="47"/>
      <c r="R175" s="1011"/>
      <c r="S175" s="48"/>
      <c r="T175" s="890"/>
      <c r="U175" s="49"/>
      <c r="V175" s="890"/>
      <c r="W175" s="49"/>
      <c r="X175" s="890"/>
      <c r="Y175" s="49"/>
      <c r="Z175" s="890"/>
      <c r="AA175" s="49"/>
      <c r="AB175" s="890"/>
      <c r="AC175" s="49"/>
      <c r="AD175" s="890"/>
      <c r="AE175" s="49"/>
      <c r="AF175" s="890"/>
      <c r="AG175" s="50"/>
      <c r="AH175" s="856"/>
      <c r="AI175" s="856"/>
      <c r="AJ175" s="881">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57"/>
      <c r="B176" s="959"/>
      <c r="C176" s="962"/>
      <c r="D176" s="1005"/>
      <c r="E176" s="972"/>
      <c r="F176" s="968"/>
      <c r="G176" s="990"/>
      <c r="H176" s="974"/>
      <c r="I176" s="979"/>
      <c r="J176" s="980"/>
      <c r="K176" s="1008"/>
      <c r="L176" s="987"/>
      <c r="M176" s="174"/>
      <c r="N176" s="175"/>
      <c r="O176" s="176"/>
      <c r="P176" s="46"/>
      <c r="Q176" s="47"/>
      <c r="R176" s="1012"/>
      <c r="S176" s="48"/>
      <c r="T176" s="891"/>
      <c r="U176" s="49"/>
      <c r="V176" s="891"/>
      <c r="W176" s="49"/>
      <c r="X176" s="891"/>
      <c r="Y176" s="49"/>
      <c r="Z176" s="891"/>
      <c r="AA176" s="49"/>
      <c r="AB176" s="891"/>
      <c r="AC176" s="49"/>
      <c r="AD176" s="891"/>
      <c r="AE176" s="49"/>
      <c r="AF176" s="891"/>
      <c r="AG176" s="50"/>
      <c r="AH176" s="857"/>
      <c r="AI176" s="857"/>
      <c r="AJ176" s="882"/>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57"/>
      <c r="B177" s="959"/>
      <c r="C177" s="962"/>
      <c r="D177" s="1005"/>
      <c r="E177" s="972"/>
      <c r="F177" s="968"/>
      <c r="G177" s="990"/>
      <c r="H177" s="974"/>
      <c r="I177" s="979"/>
      <c r="J177" s="980"/>
      <c r="K177" s="1008"/>
      <c r="L177" s="987"/>
      <c r="M177" s="174"/>
      <c r="N177" s="175"/>
      <c r="O177" s="176"/>
      <c r="P177" s="46"/>
      <c r="Q177" s="47"/>
      <c r="R177" s="1012"/>
      <c r="S177" s="48"/>
      <c r="T177" s="891"/>
      <c r="U177" s="49"/>
      <c r="V177" s="891"/>
      <c r="W177" s="49"/>
      <c r="X177" s="891"/>
      <c r="Y177" s="49"/>
      <c r="Z177" s="891"/>
      <c r="AA177" s="49"/>
      <c r="AB177" s="891"/>
      <c r="AC177" s="49"/>
      <c r="AD177" s="891"/>
      <c r="AE177" s="49"/>
      <c r="AF177" s="891"/>
      <c r="AG177" s="50"/>
      <c r="AH177" s="857"/>
      <c r="AI177" s="857"/>
      <c r="AJ177" s="882"/>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57"/>
      <c r="B178" s="959"/>
      <c r="C178" s="962"/>
      <c r="D178" s="1005"/>
      <c r="E178" s="972"/>
      <c r="F178" s="968"/>
      <c r="G178" s="990"/>
      <c r="H178" s="974"/>
      <c r="I178" s="979"/>
      <c r="J178" s="980"/>
      <c r="K178" s="1008"/>
      <c r="L178" s="987"/>
      <c r="M178" s="174"/>
      <c r="N178" s="175"/>
      <c r="O178" s="176"/>
      <c r="P178" s="46"/>
      <c r="Q178" s="47"/>
      <c r="R178" s="1012"/>
      <c r="S178" s="48"/>
      <c r="T178" s="891"/>
      <c r="U178" s="49"/>
      <c r="V178" s="891"/>
      <c r="W178" s="49"/>
      <c r="X178" s="891"/>
      <c r="Y178" s="49"/>
      <c r="Z178" s="891"/>
      <c r="AA178" s="49"/>
      <c r="AB178" s="891"/>
      <c r="AC178" s="49"/>
      <c r="AD178" s="891"/>
      <c r="AE178" s="49"/>
      <c r="AF178" s="891"/>
      <c r="AG178" s="50"/>
      <c r="AH178" s="857"/>
      <c r="AI178" s="857"/>
      <c r="AJ178" s="882"/>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57"/>
      <c r="B179" s="959"/>
      <c r="C179" s="962"/>
      <c r="D179" s="1005"/>
      <c r="E179" s="972"/>
      <c r="F179" s="968"/>
      <c r="G179" s="990"/>
      <c r="H179" s="974"/>
      <c r="I179" s="979"/>
      <c r="J179" s="980"/>
      <c r="K179" s="1008"/>
      <c r="L179" s="987"/>
      <c r="M179" s="174"/>
      <c r="N179" s="175"/>
      <c r="O179" s="176"/>
      <c r="P179" s="46"/>
      <c r="Q179" s="47"/>
      <c r="R179" s="1012"/>
      <c r="S179" s="48"/>
      <c r="T179" s="891"/>
      <c r="U179" s="49"/>
      <c r="V179" s="891"/>
      <c r="W179" s="49"/>
      <c r="X179" s="891"/>
      <c r="Y179" s="49"/>
      <c r="Z179" s="891"/>
      <c r="AA179" s="49"/>
      <c r="AB179" s="891"/>
      <c r="AC179" s="49"/>
      <c r="AD179" s="891"/>
      <c r="AE179" s="49"/>
      <c r="AF179" s="891"/>
      <c r="AG179" s="50"/>
      <c r="AH179" s="857"/>
      <c r="AI179" s="857"/>
      <c r="AJ179" s="882"/>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57"/>
      <c r="B180" s="960"/>
      <c r="C180" s="963"/>
      <c r="D180" s="1006"/>
      <c r="E180" s="972"/>
      <c r="F180" s="969"/>
      <c r="G180" s="991"/>
      <c r="H180" s="975"/>
      <c r="I180" s="979"/>
      <c r="J180" s="980"/>
      <c r="K180" s="1009"/>
      <c r="L180" s="987"/>
      <c r="M180" s="177"/>
      <c r="N180" s="178"/>
      <c r="O180" s="179"/>
      <c r="P180" s="106"/>
      <c r="Q180" s="107"/>
      <c r="R180" s="1012"/>
      <c r="S180" s="108"/>
      <c r="T180" s="891"/>
      <c r="U180" s="109"/>
      <c r="V180" s="891"/>
      <c r="W180" s="109"/>
      <c r="X180" s="891"/>
      <c r="Y180" s="109"/>
      <c r="Z180" s="891"/>
      <c r="AA180" s="109"/>
      <c r="AB180" s="891"/>
      <c r="AC180" s="109"/>
      <c r="AD180" s="891"/>
      <c r="AE180" s="109"/>
      <c r="AF180" s="891"/>
      <c r="AG180" s="110"/>
      <c r="AH180" s="857"/>
      <c r="AI180" s="857"/>
      <c r="AJ180" s="883"/>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8"/>
      <c r="B181" s="961"/>
      <c r="C181" s="964"/>
      <c r="D181" s="1007"/>
      <c r="E181" s="973"/>
      <c r="F181" s="970"/>
      <c r="G181" s="992"/>
      <c r="H181" s="976"/>
      <c r="I181" s="981"/>
      <c r="J181" s="982"/>
      <c r="K181" s="1010"/>
      <c r="L181" s="988"/>
      <c r="M181" s="180"/>
      <c r="N181" s="181"/>
      <c r="O181" s="182"/>
      <c r="P181" s="117"/>
      <c r="Q181" s="117"/>
      <c r="R181" s="1013"/>
      <c r="S181" s="183"/>
      <c r="T181" s="892"/>
      <c r="U181" s="184"/>
      <c r="V181" s="892"/>
      <c r="W181" s="184"/>
      <c r="X181" s="892"/>
      <c r="Y181" s="184"/>
      <c r="Z181" s="892"/>
      <c r="AA181" s="184"/>
      <c r="AB181" s="892"/>
      <c r="AC181" s="184"/>
      <c r="AD181" s="892"/>
      <c r="AE181" s="184"/>
      <c r="AF181" s="892"/>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9"/>
      <c r="J182" s="989"/>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6">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5"/>
      <c r="AI183" s="855"/>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1685</v>
      </c>
      <c r="BB183" s="44" t="s">
        <v>1686</v>
      </c>
      <c r="BC183" s="45" t="s">
        <v>1687</v>
      </c>
    </row>
    <row r="184" spans="1:55" ht="17.25" hidden="1" customHeight="1" x14ac:dyDescent="0.2">
      <c r="A184" s="957"/>
      <c r="B184" s="959" t="str">
        <f>VLOOKUP($D$9,'PROYECTOS REGISTRADOS'!$A$2:$D$82,4,0)</f>
        <v>Ampliación de programas para atención a la mujer en el Municipio de Tocancipá, Cundinamarca, Centro Oriente</v>
      </c>
      <c r="C184" s="962" t="str">
        <f>VLOOKUP($D$9,'PROYECTOS REGISTRADOS'!$A$2:$D$82,3,0)</f>
        <v>2016-25817-0031</v>
      </c>
      <c r="D184" s="1005"/>
      <c r="E184" s="971" t="str">
        <f>IF(D184=0,"0-0",(VLOOKUP(D184,#REF!,2,0)))</f>
        <v>0-0</v>
      </c>
      <c r="F184" s="968" t="str">
        <f>IF(D184=0,"0-0",(VLOOKUP(D184,#REF!,3,0)))</f>
        <v>0-0</v>
      </c>
      <c r="G184" s="990" t="str">
        <f>IF(D184=0,"0-0",(VLOOKUP(D184,#REF!,4,0)))</f>
        <v>0-0</v>
      </c>
      <c r="H184" s="974" t="str">
        <f>IF(D184=0,"0-0",(VLOOKUP(D184,#REF!,5,0)))</f>
        <v>0-0</v>
      </c>
      <c r="I184" s="977" t="str">
        <f>IF(D184=0,"0-0",(VLOOKUP(D184,#REF!,$R$3,0)))</f>
        <v>0-0</v>
      </c>
      <c r="J184" s="978"/>
      <c r="K184" s="1008"/>
      <c r="L184" s="986"/>
      <c r="M184" s="174"/>
      <c r="N184" s="175"/>
      <c r="O184" s="176"/>
      <c r="P184" s="46"/>
      <c r="Q184" s="47"/>
      <c r="R184" s="1011"/>
      <c r="S184" s="48"/>
      <c r="T184" s="890"/>
      <c r="U184" s="49"/>
      <c r="V184" s="890"/>
      <c r="W184" s="49"/>
      <c r="X184" s="890"/>
      <c r="Y184" s="49"/>
      <c r="Z184" s="890"/>
      <c r="AA184" s="49"/>
      <c r="AB184" s="890"/>
      <c r="AC184" s="49"/>
      <c r="AD184" s="890"/>
      <c r="AE184" s="49"/>
      <c r="AF184" s="890"/>
      <c r="AG184" s="50"/>
      <c r="AH184" s="856"/>
      <c r="AI184" s="856"/>
      <c r="AJ184" s="881">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57"/>
      <c r="B185" s="959"/>
      <c r="C185" s="962"/>
      <c r="D185" s="1005"/>
      <c r="E185" s="972"/>
      <c r="F185" s="968"/>
      <c r="G185" s="990"/>
      <c r="H185" s="974"/>
      <c r="I185" s="979"/>
      <c r="J185" s="980"/>
      <c r="K185" s="1008"/>
      <c r="L185" s="987"/>
      <c r="M185" s="174"/>
      <c r="N185" s="175"/>
      <c r="O185" s="176"/>
      <c r="P185" s="46"/>
      <c r="Q185" s="47"/>
      <c r="R185" s="1012"/>
      <c r="S185" s="48"/>
      <c r="T185" s="891"/>
      <c r="U185" s="49"/>
      <c r="V185" s="891"/>
      <c r="W185" s="49"/>
      <c r="X185" s="891"/>
      <c r="Y185" s="49"/>
      <c r="Z185" s="891"/>
      <c r="AA185" s="49"/>
      <c r="AB185" s="891"/>
      <c r="AC185" s="49"/>
      <c r="AD185" s="891"/>
      <c r="AE185" s="49"/>
      <c r="AF185" s="891"/>
      <c r="AG185" s="50"/>
      <c r="AH185" s="857"/>
      <c r="AI185" s="857"/>
      <c r="AJ185" s="882"/>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57"/>
      <c r="B186" s="959"/>
      <c r="C186" s="962"/>
      <c r="D186" s="1005"/>
      <c r="E186" s="972"/>
      <c r="F186" s="968"/>
      <c r="G186" s="990"/>
      <c r="H186" s="974"/>
      <c r="I186" s="979"/>
      <c r="J186" s="980"/>
      <c r="K186" s="1008"/>
      <c r="L186" s="987"/>
      <c r="M186" s="174"/>
      <c r="N186" s="175"/>
      <c r="O186" s="176"/>
      <c r="P186" s="46"/>
      <c r="Q186" s="47"/>
      <c r="R186" s="1012"/>
      <c r="S186" s="48"/>
      <c r="T186" s="891"/>
      <c r="U186" s="49"/>
      <c r="V186" s="891"/>
      <c r="W186" s="49"/>
      <c r="X186" s="891"/>
      <c r="Y186" s="49"/>
      <c r="Z186" s="891"/>
      <c r="AA186" s="49"/>
      <c r="AB186" s="891"/>
      <c r="AC186" s="49"/>
      <c r="AD186" s="891"/>
      <c r="AE186" s="49"/>
      <c r="AF186" s="891"/>
      <c r="AG186" s="50"/>
      <c r="AH186" s="857"/>
      <c r="AI186" s="857"/>
      <c r="AJ186" s="882"/>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57"/>
      <c r="B187" s="959"/>
      <c r="C187" s="962"/>
      <c r="D187" s="1005"/>
      <c r="E187" s="972"/>
      <c r="F187" s="968"/>
      <c r="G187" s="990"/>
      <c r="H187" s="974"/>
      <c r="I187" s="979"/>
      <c r="J187" s="980"/>
      <c r="K187" s="1008"/>
      <c r="L187" s="987"/>
      <c r="M187" s="174"/>
      <c r="N187" s="175"/>
      <c r="O187" s="176"/>
      <c r="P187" s="46"/>
      <c r="Q187" s="47"/>
      <c r="R187" s="1012"/>
      <c r="S187" s="48"/>
      <c r="T187" s="891"/>
      <c r="U187" s="49"/>
      <c r="V187" s="891"/>
      <c r="W187" s="49"/>
      <c r="X187" s="891"/>
      <c r="Y187" s="49"/>
      <c r="Z187" s="891"/>
      <c r="AA187" s="49"/>
      <c r="AB187" s="891"/>
      <c r="AC187" s="49"/>
      <c r="AD187" s="891"/>
      <c r="AE187" s="49"/>
      <c r="AF187" s="891"/>
      <c r="AG187" s="50"/>
      <c r="AH187" s="857"/>
      <c r="AI187" s="857"/>
      <c r="AJ187" s="882"/>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57"/>
      <c r="B188" s="959"/>
      <c r="C188" s="962"/>
      <c r="D188" s="1005"/>
      <c r="E188" s="972"/>
      <c r="F188" s="968"/>
      <c r="G188" s="990"/>
      <c r="H188" s="974"/>
      <c r="I188" s="979"/>
      <c r="J188" s="980"/>
      <c r="K188" s="1008"/>
      <c r="L188" s="987"/>
      <c r="M188" s="174"/>
      <c r="N188" s="175"/>
      <c r="O188" s="176"/>
      <c r="P188" s="46"/>
      <c r="Q188" s="47"/>
      <c r="R188" s="1012"/>
      <c r="S188" s="48"/>
      <c r="T188" s="891"/>
      <c r="U188" s="49"/>
      <c r="V188" s="891"/>
      <c r="W188" s="49"/>
      <c r="X188" s="891"/>
      <c r="Y188" s="49"/>
      <c r="Z188" s="891"/>
      <c r="AA188" s="49"/>
      <c r="AB188" s="891"/>
      <c r="AC188" s="49"/>
      <c r="AD188" s="891"/>
      <c r="AE188" s="49"/>
      <c r="AF188" s="891"/>
      <c r="AG188" s="50"/>
      <c r="AH188" s="857"/>
      <c r="AI188" s="857"/>
      <c r="AJ188" s="882"/>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57"/>
      <c r="B189" s="960"/>
      <c r="C189" s="963"/>
      <c r="D189" s="1006"/>
      <c r="E189" s="972"/>
      <c r="F189" s="969"/>
      <c r="G189" s="991"/>
      <c r="H189" s="975"/>
      <c r="I189" s="979"/>
      <c r="J189" s="980"/>
      <c r="K189" s="1009"/>
      <c r="L189" s="987"/>
      <c r="M189" s="177"/>
      <c r="N189" s="178"/>
      <c r="O189" s="179"/>
      <c r="P189" s="106"/>
      <c r="Q189" s="107"/>
      <c r="R189" s="1012"/>
      <c r="S189" s="108"/>
      <c r="T189" s="891"/>
      <c r="U189" s="109"/>
      <c r="V189" s="891"/>
      <c r="W189" s="109"/>
      <c r="X189" s="891"/>
      <c r="Y189" s="109"/>
      <c r="Z189" s="891"/>
      <c r="AA189" s="109"/>
      <c r="AB189" s="891"/>
      <c r="AC189" s="109"/>
      <c r="AD189" s="891"/>
      <c r="AE189" s="109"/>
      <c r="AF189" s="891"/>
      <c r="AG189" s="110"/>
      <c r="AH189" s="857"/>
      <c r="AI189" s="857"/>
      <c r="AJ189" s="883"/>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8"/>
      <c r="B190" s="961"/>
      <c r="C190" s="964"/>
      <c r="D190" s="1007"/>
      <c r="E190" s="973"/>
      <c r="F190" s="970"/>
      <c r="G190" s="992"/>
      <c r="H190" s="976"/>
      <c r="I190" s="981"/>
      <c r="J190" s="982"/>
      <c r="K190" s="1010"/>
      <c r="L190" s="988"/>
      <c r="M190" s="180"/>
      <c r="N190" s="181"/>
      <c r="O190" s="182"/>
      <c r="P190" s="117"/>
      <c r="Q190" s="117"/>
      <c r="R190" s="1013"/>
      <c r="S190" s="183"/>
      <c r="T190" s="892"/>
      <c r="U190" s="184"/>
      <c r="V190" s="892"/>
      <c r="W190" s="184"/>
      <c r="X190" s="892"/>
      <c r="Y190" s="184"/>
      <c r="Z190" s="892"/>
      <c r="AA190" s="184"/>
      <c r="AB190" s="892"/>
      <c r="AC190" s="184"/>
      <c r="AD190" s="892"/>
      <c r="AE190" s="184"/>
      <c r="AF190" s="892"/>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89"/>
      <c r="J191" s="989"/>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6">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5"/>
      <c r="AI192" s="855"/>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1685</v>
      </c>
      <c r="BB192" s="44" t="s">
        <v>1686</v>
      </c>
      <c r="BC192" s="45" t="s">
        <v>1687</v>
      </c>
    </row>
    <row r="193" spans="1:55" ht="17.25" hidden="1" customHeight="1" x14ac:dyDescent="0.2">
      <c r="A193" s="957"/>
      <c r="B193" s="959" t="str">
        <f>VLOOKUP($D$9,'PROYECTOS REGISTRADOS'!$A$2:$D$82,4,0)</f>
        <v>Ampliación de programas para atención a la mujer en el Municipio de Tocancipá, Cundinamarca, Centro Oriente</v>
      </c>
      <c r="C193" s="962" t="str">
        <f>VLOOKUP($D$9,'PROYECTOS REGISTRADOS'!$A$2:$D$82,3,0)</f>
        <v>2016-25817-0031</v>
      </c>
      <c r="D193" s="1005"/>
      <c r="E193" s="971" t="str">
        <f>IF(D193=0,"0-0",(VLOOKUP(D193,#REF!,2,0)))</f>
        <v>0-0</v>
      </c>
      <c r="F193" s="968" t="str">
        <f>IF(D193=0,"0-0",(VLOOKUP(D193,#REF!,3,0)))</f>
        <v>0-0</v>
      </c>
      <c r="G193" s="990" t="str">
        <f>IF(D193=0,"0-0",(VLOOKUP(D193,#REF!,4,0)))</f>
        <v>0-0</v>
      </c>
      <c r="H193" s="974" t="str">
        <f>IF(D193=0,"0-0",(VLOOKUP(D193,#REF!,5,0)))</f>
        <v>0-0</v>
      </c>
      <c r="I193" s="977" t="str">
        <f>IF(D193=0,"0-0",(VLOOKUP(D193,#REF!,$R$3,0)))</f>
        <v>0-0</v>
      </c>
      <c r="J193" s="978"/>
      <c r="K193" s="1008"/>
      <c r="L193" s="986"/>
      <c r="M193" s="174"/>
      <c r="N193" s="175"/>
      <c r="O193" s="176"/>
      <c r="P193" s="46"/>
      <c r="Q193" s="47"/>
      <c r="R193" s="1011"/>
      <c r="S193" s="48"/>
      <c r="T193" s="890"/>
      <c r="U193" s="49"/>
      <c r="V193" s="890"/>
      <c r="W193" s="49"/>
      <c r="X193" s="890"/>
      <c r="Y193" s="49"/>
      <c r="Z193" s="890"/>
      <c r="AA193" s="49"/>
      <c r="AB193" s="890"/>
      <c r="AC193" s="49"/>
      <c r="AD193" s="890"/>
      <c r="AE193" s="49"/>
      <c r="AF193" s="890"/>
      <c r="AG193" s="50"/>
      <c r="AH193" s="856"/>
      <c r="AI193" s="856"/>
      <c r="AJ193" s="881">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57"/>
      <c r="B194" s="959"/>
      <c r="C194" s="962"/>
      <c r="D194" s="1005"/>
      <c r="E194" s="972"/>
      <c r="F194" s="968"/>
      <c r="G194" s="990"/>
      <c r="H194" s="974"/>
      <c r="I194" s="979"/>
      <c r="J194" s="980"/>
      <c r="K194" s="1008"/>
      <c r="L194" s="987"/>
      <c r="M194" s="174"/>
      <c r="N194" s="175"/>
      <c r="O194" s="176"/>
      <c r="P194" s="46"/>
      <c r="Q194" s="47"/>
      <c r="R194" s="1012"/>
      <c r="S194" s="48"/>
      <c r="T194" s="891"/>
      <c r="U194" s="49"/>
      <c r="V194" s="891"/>
      <c r="W194" s="49"/>
      <c r="X194" s="891"/>
      <c r="Y194" s="49"/>
      <c r="Z194" s="891"/>
      <c r="AA194" s="49"/>
      <c r="AB194" s="891"/>
      <c r="AC194" s="49"/>
      <c r="AD194" s="891"/>
      <c r="AE194" s="49"/>
      <c r="AF194" s="891"/>
      <c r="AG194" s="50"/>
      <c r="AH194" s="857"/>
      <c r="AI194" s="857"/>
      <c r="AJ194" s="882"/>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57"/>
      <c r="B195" s="959"/>
      <c r="C195" s="962"/>
      <c r="D195" s="1005"/>
      <c r="E195" s="972"/>
      <c r="F195" s="968"/>
      <c r="G195" s="990"/>
      <c r="H195" s="974"/>
      <c r="I195" s="979"/>
      <c r="J195" s="980"/>
      <c r="K195" s="1008"/>
      <c r="L195" s="987"/>
      <c r="M195" s="174"/>
      <c r="N195" s="175"/>
      <c r="O195" s="176"/>
      <c r="P195" s="46"/>
      <c r="Q195" s="47"/>
      <c r="R195" s="1012"/>
      <c r="S195" s="48"/>
      <c r="T195" s="891"/>
      <c r="U195" s="49"/>
      <c r="V195" s="891"/>
      <c r="W195" s="49"/>
      <c r="X195" s="891"/>
      <c r="Y195" s="49"/>
      <c r="Z195" s="891"/>
      <c r="AA195" s="49"/>
      <c r="AB195" s="891"/>
      <c r="AC195" s="49"/>
      <c r="AD195" s="891"/>
      <c r="AE195" s="49"/>
      <c r="AF195" s="891"/>
      <c r="AG195" s="50"/>
      <c r="AH195" s="857"/>
      <c r="AI195" s="857"/>
      <c r="AJ195" s="882"/>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57"/>
      <c r="B196" s="959"/>
      <c r="C196" s="962"/>
      <c r="D196" s="1005"/>
      <c r="E196" s="972"/>
      <c r="F196" s="968"/>
      <c r="G196" s="990"/>
      <c r="H196" s="974"/>
      <c r="I196" s="979"/>
      <c r="J196" s="980"/>
      <c r="K196" s="1008"/>
      <c r="L196" s="987"/>
      <c r="M196" s="174"/>
      <c r="N196" s="175"/>
      <c r="O196" s="176"/>
      <c r="P196" s="46"/>
      <c r="Q196" s="47"/>
      <c r="R196" s="1012"/>
      <c r="S196" s="48"/>
      <c r="T196" s="891"/>
      <c r="U196" s="49"/>
      <c r="V196" s="891"/>
      <c r="W196" s="49"/>
      <c r="X196" s="891"/>
      <c r="Y196" s="49"/>
      <c r="Z196" s="891"/>
      <c r="AA196" s="49"/>
      <c r="AB196" s="891"/>
      <c r="AC196" s="49"/>
      <c r="AD196" s="891"/>
      <c r="AE196" s="49"/>
      <c r="AF196" s="891"/>
      <c r="AG196" s="50"/>
      <c r="AH196" s="857"/>
      <c r="AI196" s="857"/>
      <c r="AJ196" s="882"/>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57"/>
      <c r="B197" s="959"/>
      <c r="C197" s="962"/>
      <c r="D197" s="1005"/>
      <c r="E197" s="972"/>
      <c r="F197" s="968"/>
      <c r="G197" s="990"/>
      <c r="H197" s="974"/>
      <c r="I197" s="979"/>
      <c r="J197" s="980"/>
      <c r="K197" s="1008"/>
      <c r="L197" s="987"/>
      <c r="M197" s="174"/>
      <c r="N197" s="175"/>
      <c r="O197" s="176"/>
      <c r="P197" s="46"/>
      <c r="Q197" s="47"/>
      <c r="R197" s="1012"/>
      <c r="S197" s="48"/>
      <c r="T197" s="891"/>
      <c r="U197" s="49"/>
      <c r="V197" s="891"/>
      <c r="W197" s="49"/>
      <c r="X197" s="891"/>
      <c r="Y197" s="49"/>
      <c r="Z197" s="891"/>
      <c r="AA197" s="49"/>
      <c r="AB197" s="891"/>
      <c r="AC197" s="49"/>
      <c r="AD197" s="891"/>
      <c r="AE197" s="49"/>
      <c r="AF197" s="891"/>
      <c r="AG197" s="50"/>
      <c r="AH197" s="857"/>
      <c r="AI197" s="857"/>
      <c r="AJ197" s="882"/>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57"/>
      <c r="B198" s="960"/>
      <c r="C198" s="963"/>
      <c r="D198" s="1006"/>
      <c r="E198" s="972"/>
      <c r="F198" s="969"/>
      <c r="G198" s="991"/>
      <c r="H198" s="975"/>
      <c r="I198" s="979"/>
      <c r="J198" s="980"/>
      <c r="K198" s="1009"/>
      <c r="L198" s="987"/>
      <c r="M198" s="177"/>
      <c r="N198" s="178"/>
      <c r="O198" s="179"/>
      <c r="P198" s="106"/>
      <c r="Q198" s="107"/>
      <c r="R198" s="1012"/>
      <c r="S198" s="108"/>
      <c r="T198" s="891"/>
      <c r="U198" s="109"/>
      <c r="V198" s="891"/>
      <c r="W198" s="109"/>
      <c r="X198" s="891"/>
      <c r="Y198" s="109"/>
      <c r="Z198" s="891"/>
      <c r="AA198" s="109"/>
      <c r="AB198" s="891"/>
      <c r="AC198" s="109"/>
      <c r="AD198" s="891"/>
      <c r="AE198" s="109"/>
      <c r="AF198" s="891"/>
      <c r="AG198" s="110"/>
      <c r="AH198" s="857"/>
      <c r="AI198" s="857"/>
      <c r="AJ198" s="883"/>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8"/>
      <c r="B199" s="961"/>
      <c r="C199" s="964"/>
      <c r="D199" s="1007"/>
      <c r="E199" s="973"/>
      <c r="F199" s="970"/>
      <c r="G199" s="992"/>
      <c r="H199" s="976"/>
      <c r="I199" s="981"/>
      <c r="J199" s="982"/>
      <c r="K199" s="1010"/>
      <c r="L199" s="988"/>
      <c r="M199" s="180"/>
      <c r="N199" s="181"/>
      <c r="O199" s="182"/>
      <c r="P199" s="117"/>
      <c r="Q199" s="117"/>
      <c r="R199" s="1013"/>
      <c r="S199" s="183"/>
      <c r="T199" s="892"/>
      <c r="U199" s="184"/>
      <c r="V199" s="892"/>
      <c r="W199" s="184"/>
      <c r="X199" s="892"/>
      <c r="Y199" s="184"/>
      <c r="Z199" s="892"/>
      <c r="AA199" s="184"/>
      <c r="AB199" s="892"/>
      <c r="AC199" s="184"/>
      <c r="AD199" s="892"/>
      <c r="AE199" s="184"/>
      <c r="AF199" s="892"/>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89"/>
      <c r="J200" s="989"/>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1"/>
      <c r="C202" s="913" t="s">
        <v>1669</v>
      </c>
      <c r="D202" s="914"/>
      <c r="E202" s="914"/>
      <c r="F202" s="914"/>
      <c r="G202" s="914"/>
      <c r="H202" s="914"/>
      <c r="I202" s="914"/>
      <c r="J202" s="914"/>
    </row>
    <row r="203" spans="1:55" x14ac:dyDescent="0.2">
      <c r="B203" s="912"/>
      <c r="C203" s="913"/>
      <c r="D203" s="914"/>
      <c r="E203" s="914"/>
      <c r="F203" s="914"/>
      <c r="G203" s="914"/>
      <c r="H203" s="914"/>
      <c r="I203" s="914"/>
      <c r="J203" s="914"/>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DI4f393RHd24fAk6UBsvsp1qTV1NOFbDt3TWGD9SNcd3+JzL66k2nVXptmHD0ChZ8JuTw8p7mjRpFoG+DAYcWw==" saltValue="UmlYB1+sKhXl/IoazZfF3g==" spinCount="100000" sheet="1" objects="1" scenarios="1"/>
  <mergeCells count="492">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C157:C163"/>
    <mergeCell ref="D157:D163"/>
    <mergeCell ref="E157:E163"/>
    <mergeCell ref="F157:F163"/>
    <mergeCell ref="G157:G163"/>
    <mergeCell ref="H157:H163"/>
    <mergeCell ref="I157:J163"/>
    <mergeCell ref="E148:E154"/>
    <mergeCell ref="F148:F154"/>
    <mergeCell ref="G148:G154"/>
    <mergeCell ref="H148:H154"/>
    <mergeCell ref="I148:J154"/>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0:AF136"/>
    <mergeCell ref="AJ130:AJ135"/>
    <mergeCell ref="K130:K136"/>
    <mergeCell ref="L130:L136"/>
    <mergeCell ref="R130:R136"/>
    <mergeCell ref="T130:T136"/>
    <mergeCell ref="V130:V136"/>
    <mergeCell ref="X130:X136"/>
    <mergeCell ref="Z130:Z136"/>
    <mergeCell ref="AB130:AB136"/>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89" customWidth="1"/>
    <col min="3" max="3" width="65" style="789" customWidth="1"/>
    <col min="4" max="4" width="22.7109375" style="790" customWidth="1"/>
    <col min="5" max="5" width="15.42578125" style="791" customWidth="1"/>
    <col min="6" max="6" width="17.140625" style="791" customWidth="1"/>
    <col min="7" max="7" width="56.140625" style="792" customWidth="1"/>
    <col min="8" max="8" width="51.7109375" style="792" customWidth="1"/>
    <col min="9" max="9" width="36.7109375" style="793" customWidth="1"/>
    <col min="10" max="10" width="11.5703125" style="794" customWidth="1"/>
    <col min="11" max="11" width="24.28515625" style="794" customWidth="1"/>
    <col min="12" max="12" width="60.7109375" style="792" customWidth="1"/>
    <col min="13" max="13" width="52.7109375" style="792" customWidth="1"/>
    <col min="14" max="14" width="16.7109375" style="795" customWidth="1"/>
    <col min="15" max="15" width="15.7109375" style="792" customWidth="1"/>
    <col min="16" max="16" width="18.5703125" style="796" customWidth="1"/>
    <col min="17" max="17" width="32.85546875" style="797" customWidth="1"/>
    <col min="18" max="18" width="62.7109375" style="792" customWidth="1"/>
    <col min="19" max="19" width="40.7109375" style="792" customWidth="1"/>
    <col min="20" max="20" width="14.7109375" style="795" customWidth="1"/>
    <col min="21" max="26" width="15.7109375" style="795" customWidth="1"/>
    <col min="27" max="28" width="21.85546875" style="795" bestFit="1" customWidth="1"/>
    <col min="29" max="29" width="19.7109375" style="795" bestFit="1" customWidth="1"/>
    <col min="30" max="30" width="16.28515625" style="795" bestFit="1" customWidth="1"/>
    <col min="31" max="31" width="9.7109375" style="795" bestFit="1" customWidth="1"/>
    <col min="32" max="35" width="21.85546875" style="795" bestFit="1" customWidth="1"/>
    <col min="36" max="36" width="19.7109375" style="795" bestFit="1" customWidth="1"/>
    <col min="37" max="37" width="16.28515625" style="795" bestFit="1" customWidth="1"/>
    <col min="38" max="38" width="9.7109375" style="795" bestFit="1" customWidth="1"/>
    <col min="39" max="42" width="21.85546875" style="795" bestFit="1" customWidth="1"/>
    <col min="43" max="43" width="19.7109375" style="795" bestFit="1" customWidth="1"/>
    <col min="44" max="44" width="16.28515625" style="795" bestFit="1" customWidth="1"/>
    <col min="45" max="45" width="9.7109375" style="795" bestFit="1" customWidth="1"/>
    <col min="46" max="49" width="21.85546875" style="795" bestFit="1" customWidth="1"/>
    <col min="50" max="50" width="19.7109375" style="795" bestFit="1" customWidth="1"/>
    <col min="51" max="51" width="16.28515625" style="795" bestFit="1" customWidth="1"/>
    <col min="52" max="52" width="9.7109375" style="795" bestFit="1" customWidth="1"/>
    <col min="53" max="54" width="21.85546875" style="795" bestFit="1" customWidth="1"/>
    <col min="55" max="55" width="23.42578125" style="795" bestFit="1" customWidth="1"/>
    <col min="56" max="56" width="51.7109375" style="199"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0" t="s">
        <v>0</v>
      </c>
      <c r="C1" s="1040"/>
      <c r="D1" s="1040"/>
      <c r="E1" s="1040"/>
      <c r="F1" s="1040"/>
      <c r="G1" s="1040"/>
      <c r="H1" s="1040"/>
      <c r="I1" s="1040"/>
      <c r="J1" s="1040"/>
      <c r="K1" s="1040"/>
      <c r="L1" s="1040"/>
      <c r="M1" s="1040"/>
      <c r="N1" s="1040"/>
      <c r="O1" s="1040"/>
      <c r="P1" s="1040"/>
      <c r="Q1" s="1040"/>
      <c r="R1" s="1040"/>
      <c r="S1" s="1040"/>
      <c r="T1" s="1040"/>
      <c r="U1" s="1040"/>
      <c r="V1" s="810"/>
      <c r="W1" s="810"/>
      <c r="X1" s="810"/>
      <c r="Y1" s="810"/>
      <c r="Z1" s="810"/>
      <c r="AA1" s="810"/>
      <c r="AB1" s="810"/>
      <c r="AC1" s="810"/>
      <c r="AD1" s="810"/>
      <c r="AE1" s="810"/>
      <c r="AF1" s="810"/>
      <c r="AG1" s="810"/>
      <c r="AH1" s="810"/>
      <c r="AI1" s="810"/>
      <c r="AJ1" s="810"/>
      <c r="AK1" s="810"/>
      <c r="AL1" s="810"/>
      <c r="AM1" s="810"/>
      <c r="AN1" s="810"/>
      <c r="AO1" s="810"/>
      <c r="AP1" s="810"/>
      <c r="AQ1" s="810"/>
      <c r="AR1" s="810"/>
      <c r="AS1" s="810"/>
      <c r="AT1" s="810"/>
      <c r="AU1" s="810"/>
      <c r="AV1" s="810"/>
      <c r="AW1" s="810"/>
      <c r="AX1" s="810"/>
      <c r="AY1" s="810"/>
      <c r="AZ1" s="810"/>
      <c r="BA1" s="810"/>
      <c r="BB1" s="810"/>
      <c r="BC1" s="810"/>
    </row>
    <row r="2" spans="1:150" s="204" customFormat="1" ht="27" customHeight="1" x14ac:dyDescent="0.25">
      <c r="A2" s="200" t="s">
        <v>1</v>
      </c>
      <c r="B2" s="200"/>
      <c r="C2" s="200"/>
      <c r="D2" s="201"/>
      <c r="E2" s="200"/>
      <c r="F2" s="200"/>
      <c r="G2" s="202"/>
      <c r="H2" s="202"/>
      <c r="I2" s="203"/>
      <c r="J2" s="202"/>
      <c r="K2" s="202"/>
      <c r="L2" s="202"/>
      <c r="M2" s="202"/>
      <c r="N2" s="202"/>
      <c r="O2" s="202"/>
      <c r="P2" s="202"/>
      <c r="Q2" s="200"/>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row>
    <row r="3" spans="1:150" s="204" customFormat="1" ht="27" customHeight="1" x14ac:dyDescent="0.25">
      <c r="A3" s="200" t="s">
        <v>2</v>
      </c>
      <c r="B3" s="205"/>
      <c r="C3" s="205"/>
      <c r="D3" s="206"/>
      <c r="E3" s="205"/>
      <c r="F3" s="205"/>
      <c r="I3" s="207"/>
      <c r="Q3" s="205"/>
    </row>
    <row r="4" spans="1:150" s="204" customFormat="1" ht="35.25" customHeight="1" x14ac:dyDescent="0.25">
      <c r="A4" s="1041" t="s">
        <v>3</v>
      </c>
      <c r="B4" s="1041"/>
      <c r="C4" s="1041"/>
      <c r="D4" s="1041"/>
      <c r="E4" s="1041"/>
      <c r="F4" s="1041"/>
      <c r="G4" s="1041"/>
      <c r="H4" s="1041"/>
      <c r="I4" s="1041"/>
      <c r="J4" s="1041"/>
      <c r="K4" s="1041"/>
      <c r="L4" s="1041"/>
      <c r="M4" s="1041"/>
      <c r="N4" s="1041"/>
      <c r="O4" s="1041"/>
      <c r="P4" s="1041"/>
      <c r="Q4" s="1041"/>
      <c r="R4" s="1041"/>
      <c r="S4" s="1041"/>
      <c r="T4" s="1041"/>
      <c r="U4" s="1041"/>
      <c r="V4" s="1041"/>
      <c r="W4" s="1041"/>
      <c r="X4" s="1041"/>
      <c r="Y4" s="1041"/>
      <c r="Z4" s="1041"/>
      <c r="AA4" s="1041"/>
      <c r="AB4" s="1041"/>
      <c r="AC4" s="1041"/>
      <c r="AD4" s="1041"/>
      <c r="AE4" s="1041"/>
      <c r="AF4" s="1041"/>
      <c r="AG4" s="1041"/>
      <c r="AH4" s="1041"/>
      <c r="AI4" s="1041"/>
      <c r="AJ4" s="1041"/>
      <c r="AK4" s="1041"/>
      <c r="AL4" s="1041"/>
      <c r="AM4" s="1041"/>
      <c r="AN4" s="1041"/>
      <c r="AO4" s="1041"/>
      <c r="AP4" s="1041"/>
      <c r="AQ4" s="1041"/>
      <c r="AR4" s="1041"/>
      <c r="AS4" s="1041"/>
      <c r="AT4" s="1041"/>
      <c r="AU4" s="1041"/>
      <c r="AV4" s="1041"/>
      <c r="AW4" s="1041"/>
      <c r="AX4" s="1041"/>
      <c r="AY4" s="1041"/>
      <c r="AZ4" s="1041"/>
      <c r="BA4" s="1041"/>
      <c r="BB4" s="1041"/>
      <c r="BC4" s="1041"/>
      <c r="BD4" s="1041"/>
    </row>
    <row r="5" spans="1:150" s="204" customFormat="1" ht="72.75" customHeight="1" thickBot="1" x14ac:dyDescent="0.3">
      <c r="A5" s="1041" t="s">
        <v>4</v>
      </c>
      <c r="B5" s="1041"/>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c r="AA5" s="1041"/>
      <c r="AB5" s="1041"/>
      <c r="AC5" s="1041"/>
      <c r="AD5" s="1041"/>
      <c r="AE5" s="1041"/>
      <c r="AF5" s="1041"/>
      <c r="AG5" s="1041"/>
      <c r="AH5" s="1041"/>
      <c r="AI5" s="1041"/>
      <c r="AJ5" s="1041"/>
      <c r="AK5" s="1041"/>
      <c r="AL5" s="1041"/>
      <c r="AM5" s="1041"/>
      <c r="AN5" s="1041"/>
      <c r="AO5" s="1041"/>
      <c r="AP5" s="1041"/>
      <c r="AQ5" s="1041"/>
      <c r="AR5" s="1041"/>
      <c r="AS5" s="1041"/>
      <c r="AT5" s="1041"/>
      <c r="AU5" s="1041"/>
      <c r="AV5" s="1041"/>
      <c r="AW5" s="1041"/>
      <c r="AX5" s="1041"/>
      <c r="AY5" s="1041"/>
      <c r="AZ5" s="1041"/>
      <c r="BA5" s="1041"/>
      <c r="BB5" s="1041"/>
      <c r="BC5" s="1041"/>
      <c r="BD5" s="1041"/>
    </row>
    <row r="6" spans="1:150" s="204" customFormat="1" ht="27" customHeight="1" thickBot="1" x14ac:dyDescent="0.3">
      <c r="A6" s="1034" t="s">
        <v>5</v>
      </c>
      <c r="B6" s="1042" t="s">
        <v>6</v>
      </c>
      <c r="C6" s="1042" t="s">
        <v>7</v>
      </c>
      <c r="D6" s="1034" t="s">
        <v>8</v>
      </c>
      <c r="E6" s="1034" t="s">
        <v>9</v>
      </c>
      <c r="F6" s="1034" t="s">
        <v>10</v>
      </c>
      <c r="G6" s="1031" t="s">
        <v>11</v>
      </c>
      <c r="H6" s="1031" t="s">
        <v>12</v>
      </c>
      <c r="I6" s="1048" t="s">
        <v>13</v>
      </c>
      <c r="J6" s="1031" t="s">
        <v>14</v>
      </c>
      <c r="K6" s="1031" t="s">
        <v>15</v>
      </c>
      <c r="L6" s="1031" t="s">
        <v>16</v>
      </c>
      <c r="M6" s="1031" t="s">
        <v>17</v>
      </c>
      <c r="N6" s="1025" t="s">
        <v>18</v>
      </c>
      <c r="O6" s="1031" t="s">
        <v>19</v>
      </c>
      <c r="P6" s="1034" t="s">
        <v>20</v>
      </c>
      <c r="Q6" s="1034" t="s">
        <v>21</v>
      </c>
      <c r="R6" s="1031" t="s">
        <v>22</v>
      </c>
      <c r="S6" s="1045" t="s">
        <v>23</v>
      </c>
      <c r="T6" s="1025" t="s">
        <v>24</v>
      </c>
      <c r="U6" s="1028" t="s">
        <v>25</v>
      </c>
      <c r="V6" s="1031" t="s">
        <v>26</v>
      </c>
      <c r="W6" s="1031" t="s">
        <v>27</v>
      </c>
      <c r="X6" s="1017" t="s">
        <v>28</v>
      </c>
      <c r="Y6" s="1031" t="s">
        <v>29</v>
      </c>
      <c r="Z6" s="1017" t="s">
        <v>30</v>
      </c>
      <c r="AA6" s="1020" t="s">
        <v>31</v>
      </c>
      <c r="AB6" s="1020"/>
      <c r="AC6" s="1020"/>
      <c r="AD6" s="1020"/>
      <c r="AE6" s="1020"/>
      <c r="AF6" s="1020"/>
      <c r="AG6" s="1020"/>
      <c r="AH6" s="1020"/>
      <c r="AI6" s="1020"/>
      <c r="AJ6" s="1020"/>
      <c r="AK6" s="1020"/>
      <c r="AL6" s="1020"/>
      <c r="AM6" s="1020"/>
      <c r="AN6" s="1020"/>
      <c r="AO6" s="1020"/>
      <c r="AP6" s="1020"/>
      <c r="AQ6" s="1020"/>
      <c r="AR6" s="1020"/>
      <c r="AS6" s="1020"/>
      <c r="AT6" s="1020"/>
      <c r="AU6" s="1020"/>
      <c r="AV6" s="1020"/>
      <c r="AW6" s="1020"/>
      <c r="AX6" s="1020"/>
      <c r="AY6" s="1020"/>
      <c r="AZ6" s="1020"/>
      <c r="BA6" s="1020"/>
      <c r="BB6" s="1021"/>
      <c r="BC6" s="1022" t="s">
        <v>32</v>
      </c>
      <c r="BD6" s="1031" t="s">
        <v>33</v>
      </c>
      <c r="BX6" s="204">
        <v>1</v>
      </c>
      <c r="BY6" s="204">
        <v>2</v>
      </c>
      <c r="BZ6" s="204">
        <v>3</v>
      </c>
      <c r="CA6" s="204">
        <v>4</v>
      </c>
      <c r="CB6" s="204">
        <v>5</v>
      </c>
      <c r="CC6" s="204">
        <v>6</v>
      </c>
      <c r="CD6" s="204">
        <v>7</v>
      </c>
      <c r="CE6" s="204">
        <v>8</v>
      </c>
      <c r="CF6" s="204">
        <v>9</v>
      </c>
      <c r="CG6" s="204">
        <v>10</v>
      </c>
      <c r="CH6" s="204">
        <v>11</v>
      </c>
      <c r="CI6" s="204">
        <v>12</v>
      </c>
      <c r="CJ6" s="204">
        <v>13</v>
      </c>
      <c r="CK6" s="204">
        <v>14</v>
      </c>
      <c r="CL6" s="204">
        <v>15</v>
      </c>
      <c r="CM6" s="204">
        <v>16</v>
      </c>
      <c r="CN6" s="204">
        <v>17</v>
      </c>
      <c r="CO6" s="204">
        <v>18</v>
      </c>
      <c r="CP6" s="204">
        <v>19</v>
      </c>
      <c r="CQ6" s="204">
        <v>20</v>
      </c>
      <c r="CR6" s="204">
        <v>21</v>
      </c>
      <c r="CS6" s="204">
        <v>22</v>
      </c>
      <c r="CT6" s="204">
        <v>23</v>
      </c>
      <c r="CU6" s="204">
        <v>24</v>
      </c>
      <c r="CV6" s="204">
        <v>25</v>
      </c>
      <c r="CW6" s="204">
        <v>26</v>
      </c>
      <c r="CX6" s="204">
        <v>27</v>
      </c>
      <c r="CY6" s="204">
        <v>28</v>
      </c>
      <c r="CZ6" s="204">
        <v>29</v>
      </c>
      <c r="DA6" s="204">
        <v>30</v>
      </c>
      <c r="DB6" s="204">
        <v>31</v>
      </c>
      <c r="DC6" s="205"/>
      <c r="DD6" s="205"/>
    </row>
    <row r="7" spans="1:150" s="204" customFormat="1" ht="19.5" customHeight="1" thickBot="1" x14ac:dyDescent="0.3">
      <c r="A7" s="1035"/>
      <c r="B7" s="1043"/>
      <c r="C7" s="1043"/>
      <c r="D7" s="1043"/>
      <c r="E7" s="1035"/>
      <c r="F7" s="1035"/>
      <c r="G7" s="1032"/>
      <c r="H7" s="1032"/>
      <c r="I7" s="1049"/>
      <c r="J7" s="1032"/>
      <c r="K7" s="1032"/>
      <c r="L7" s="1032"/>
      <c r="M7" s="1032"/>
      <c r="N7" s="1026"/>
      <c r="O7" s="1032"/>
      <c r="P7" s="1035"/>
      <c r="Q7" s="1035"/>
      <c r="R7" s="1032"/>
      <c r="S7" s="1046"/>
      <c r="T7" s="1026"/>
      <c r="U7" s="1029"/>
      <c r="V7" s="1032"/>
      <c r="W7" s="1032"/>
      <c r="X7" s="1018"/>
      <c r="Y7" s="1032"/>
      <c r="Z7" s="1018"/>
      <c r="AA7" s="1037">
        <v>2016</v>
      </c>
      <c r="AB7" s="1037"/>
      <c r="AC7" s="1037"/>
      <c r="AD7" s="1037"/>
      <c r="AE7" s="1037"/>
      <c r="AF7" s="1037"/>
      <c r="AG7" s="1038"/>
      <c r="AH7" s="1039">
        <v>2017</v>
      </c>
      <c r="AI7" s="1037"/>
      <c r="AJ7" s="1037"/>
      <c r="AK7" s="1037"/>
      <c r="AL7" s="1037"/>
      <c r="AM7" s="1037"/>
      <c r="AN7" s="1038"/>
      <c r="AO7" s="1039">
        <v>2018</v>
      </c>
      <c r="AP7" s="1037"/>
      <c r="AQ7" s="1037"/>
      <c r="AR7" s="1037"/>
      <c r="AS7" s="1037"/>
      <c r="AT7" s="1037"/>
      <c r="AU7" s="1038"/>
      <c r="AV7" s="1039">
        <v>2019</v>
      </c>
      <c r="AW7" s="1037"/>
      <c r="AX7" s="1037"/>
      <c r="AY7" s="1037"/>
      <c r="AZ7" s="1037"/>
      <c r="BA7" s="1037"/>
      <c r="BB7" s="1038"/>
      <c r="BC7" s="1023"/>
      <c r="BD7" s="1032"/>
      <c r="BF7" s="204">
        <v>1</v>
      </c>
      <c r="BG7" s="204">
        <v>2</v>
      </c>
      <c r="BI7" s="204">
        <v>1</v>
      </c>
      <c r="BJ7" s="204">
        <v>2</v>
      </c>
      <c r="BK7" s="204">
        <v>3</v>
      </c>
      <c r="BL7" s="204">
        <v>4</v>
      </c>
      <c r="BN7" s="204">
        <v>1</v>
      </c>
      <c r="BO7" s="204">
        <v>2</v>
      </c>
      <c r="BP7" s="204">
        <v>3</v>
      </c>
      <c r="BQ7" s="204">
        <v>4</v>
      </c>
      <c r="BS7" s="208">
        <v>1</v>
      </c>
      <c r="BT7" s="208">
        <v>2</v>
      </c>
      <c r="BU7" s="208">
        <v>3</v>
      </c>
      <c r="BV7" s="208">
        <v>4</v>
      </c>
      <c r="BZ7" s="204">
        <v>2016</v>
      </c>
      <c r="CG7" s="204">
        <v>2017</v>
      </c>
      <c r="CN7" s="204">
        <v>2018</v>
      </c>
      <c r="CU7" s="204">
        <v>2019</v>
      </c>
      <c r="DB7" s="204" t="s">
        <v>34</v>
      </c>
      <c r="DC7" s="204">
        <v>1</v>
      </c>
      <c r="DD7" s="204">
        <v>2</v>
      </c>
      <c r="DE7" s="204">
        <v>3</v>
      </c>
      <c r="DF7" s="204">
        <v>4</v>
      </c>
      <c r="DH7" s="204">
        <v>1</v>
      </c>
      <c r="DI7" s="204">
        <v>2</v>
      </c>
      <c r="DJ7" s="204">
        <v>3</v>
      </c>
      <c r="DK7" s="204">
        <v>4</v>
      </c>
      <c r="DL7" s="204">
        <v>5</v>
      </c>
      <c r="DN7" s="204">
        <v>1</v>
      </c>
      <c r="DO7" s="204">
        <v>2</v>
      </c>
      <c r="DQ7" s="204">
        <v>1</v>
      </c>
      <c r="DR7" s="204">
        <v>2</v>
      </c>
      <c r="DT7" s="204">
        <v>1</v>
      </c>
      <c r="DU7" s="204">
        <v>2</v>
      </c>
      <c r="DV7" s="204">
        <v>3</v>
      </c>
      <c r="DW7" s="204">
        <v>4</v>
      </c>
      <c r="DX7" s="204">
        <v>5</v>
      </c>
      <c r="DY7" s="204">
        <v>6</v>
      </c>
      <c r="DZ7" s="204">
        <v>7</v>
      </c>
      <c r="EB7" s="209">
        <v>1</v>
      </c>
      <c r="EC7" s="209">
        <v>2</v>
      </c>
      <c r="ED7" s="209">
        <v>3</v>
      </c>
      <c r="EE7" s="209">
        <v>4</v>
      </c>
      <c r="EF7" s="209">
        <v>5</v>
      </c>
      <c r="EG7" s="209">
        <v>6</v>
      </c>
      <c r="EH7" s="209">
        <v>7</v>
      </c>
      <c r="EI7" s="209">
        <v>8</v>
      </c>
      <c r="EJ7" s="209">
        <v>9</v>
      </c>
      <c r="EL7" s="817">
        <v>1</v>
      </c>
      <c r="EM7" s="817">
        <v>2</v>
      </c>
      <c r="EN7" s="817">
        <v>3</v>
      </c>
      <c r="EO7" s="817">
        <v>4</v>
      </c>
      <c r="EP7" s="817">
        <v>5</v>
      </c>
      <c r="EQ7" s="817">
        <v>6</v>
      </c>
      <c r="ER7" s="817">
        <v>7</v>
      </c>
      <c r="ES7" s="817">
        <v>8</v>
      </c>
      <c r="ET7" s="817">
        <v>9</v>
      </c>
    </row>
    <row r="8" spans="1:150" s="218" customFormat="1" ht="78" customHeight="1" thickBot="1" x14ac:dyDescent="0.25">
      <c r="A8" s="1036"/>
      <c r="B8" s="1044"/>
      <c r="C8" s="1044"/>
      <c r="D8" s="1044"/>
      <c r="E8" s="1036"/>
      <c r="F8" s="1036"/>
      <c r="G8" s="1033"/>
      <c r="H8" s="1033"/>
      <c r="I8" s="1050"/>
      <c r="J8" s="1033"/>
      <c r="K8" s="1033"/>
      <c r="L8" s="1033"/>
      <c r="M8" s="1033"/>
      <c r="N8" s="1027"/>
      <c r="O8" s="1033"/>
      <c r="P8" s="1036"/>
      <c r="Q8" s="1036"/>
      <c r="R8" s="1033"/>
      <c r="S8" s="1047"/>
      <c r="T8" s="1027"/>
      <c r="U8" s="1030"/>
      <c r="V8" s="1032"/>
      <c r="W8" s="1033"/>
      <c r="X8" s="1019"/>
      <c r="Y8" s="1033"/>
      <c r="Z8" s="1019"/>
      <c r="AA8" s="211" t="s">
        <v>35</v>
      </c>
      <c r="AB8" s="212" t="s">
        <v>36</v>
      </c>
      <c r="AC8" s="212" t="s">
        <v>37</v>
      </c>
      <c r="AD8" s="212" t="s">
        <v>38</v>
      </c>
      <c r="AE8" s="212" t="s">
        <v>39</v>
      </c>
      <c r="AF8" s="213" t="s">
        <v>40</v>
      </c>
      <c r="AG8" s="214" t="s">
        <v>41</v>
      </c>
      <c r="AH8" s="211" t="s">
        <v>35</v>
      </c>
      <c r="AI8" s="212" t="s">
        <v>36</v>
      </c>
      <c r="AJ8" s="212" t="s">
        <v>37</v>
      </c>
      <c r="AK8" s="212" t="s">
        <v>38</v>
      </c>
      <c r="AL8" s="212" t="s">
        <v>39</v>
      </c>
      <c r="AM8" s="212" t="s">
        <v>40</v>
      </c>
      <c r="AN8" s="215" t="s">
        <v>42</v>
      </c>
      <c r="AO8" s="216" t="s">
        <v>35</v>
      </c>
      <c r="AP8" s="212" t="s">
        <v>36</v>
      </c>
      <c r="AQ8" s="212" t="s">
        <v>37</v>
      </c>
      <c r="AR8" s="212" t="s">
        <v>38</v>
      </c>
      <c r="AS8" s="212" t="s">
        <v>39</v>
      </c>
      <c r="AT8" s="212" t="s">
        <v>40</v>
      </c>
      <c r="AU8" s="217" t="s">
        <v>43</v>
      </c>
      <c r="AV8" s="216" t="s">
        <v>35</v>
      </c>
      <c r="AW8" s="212" t="s">
        <v>36</v>
      </c>
      <c r="AX8" s="212" t="s">
        <v>37</v>
      </c>
      <c r="AY8" s="212" t="s">
        <v>38</v>
      </c>
      <c r="AZ8" s="212" t="s">
        <v>39</v>
      </c>
      <c r="BA8" s="212" t="s">
        <v>40</v>
      </c>
      <c r="BB8" s="217" t="s">
        <v>44</v>
      </c>
      <c r="BC8" s="1024"/>
      <c r="BD8" s="1033"/>
      <c r="BF8" s="219" t="s">
        <v>5</v>
      </c>
      <c r="BG8" s="220" t="s">
        <v>6</v>
      </c>
      <c r="BI8" s="221" t="s">
        <v>5</v>
      </c>
      <c r="BJ8" s="222" t="s">
        <v>6</v>
      </c>
      <c r="BK8" s="223" t="s">
        <v>10</v>
      </c>
      <c r="BL8" s="224" t="s">
        <v>11</v>
      </c>
      <c r="BN8" s="225" t="s">
        <v>10</v>
      </c>
      <c r="BO8" s="226" t="s">
        <v>11</v>
      </c>
      <c r="BP8" s="225" t="s">
        <v>15</v>
      </c>
      <c r="BQ8" s="227" t="s">
        <v>16</v>
      </c>
      <c r="BS8" s="228" t="s">
        <v>15</v>
      </c>
      <c r="BT8" s="228" t="s">
        <v>45</v>
      </c>
      <c r="BU8" s="229" t="s">
        <v>46</v>
      </c>
      <c r="BV8" s="229" t="s">
        <v>22</v>
      </c>
      <c r="BX8" s="218" t="s">
        <v>10</v>
      </c>
      <c r="BY8" s="218" t="s">
        <v>11</v>
      </c>
      <c r="BZ8" s="218" t="s">
        <v>35</v>
      </c>
      <c r="CA8" s="218" t="s">
        <v>36</v>
      </c>
      <c r="CB8" s="218" t="s">
        <v>37</v>
      </c>
      <c r="CC8" s="218" t="s">
        <v>38</v>
      </c>
      <c r="CD8" s="218" t="s">
        <v>39</v>
      </c>
      <c r="CE8" s="218" t="s">
        <v>40</v>
      </c>
      <c r="CF8" s="218" t="s">
        <v>41</v>
      </c>
      <c r="CG8" s="218" t="s">
        <v>35</v>
      </c>
      <c r="CH8" s="218" t="s">
        <v>36</v>
      </c>
      <c r="CI8" s="218" t="s">
        <v>37</v>
      </c>
      <c r="CJ8" s="218" t="s">
        <v>38</v>
      </c>
      <c r="CK8" s="218" t="s">
        <v>39</v>
      </c>
      <c r="CL8" s="218" t="s">
        <v>40</v>
      </c>
      <c r="CM8" s="218" t="s">
        <v>42</v>
      </c>
      <c r="CN8" s="218" t="s">
        <v>35</v>
      </c>
      <c r="CO8" s="218" t="s">
        <v>36</v>
      </c>
      <c r="CP8" s="218" t="s">
        <v>37</v>
      </c>
      <c r="CQ8" s="218" t="s">
        <v>38</v>
      </c>
      <c r="CR8" s="218" t="s">
        <v>39</v>
      </c>
      <c r="CS8" s="218" t="s">
        <v>40</v>
      </c>
      <c r="CT8" s="218" t="s">
        <v>43</v>
      </c>
      <c r="CU8" s="218" t="s">
        <v>35</v>
      </c>
      <c r="CV8" s="218" t="s">
        <v>36</v>
      </c>
      <c r="CW8" s="218" t="s">
        <v>37</v>
      </c>
      <c r="CX8" s="218" t="s">
        <v>38</v>
      </c>
      <c r="CY8" s="218" t="s">
        <v>39</v>
      </c>
      <c r="CZ8" s="218" t="s">
        <v>40</v>
      </c>
      <c r="DA8" s="218" t="s">
        <v>44</v>
      </c>
      <c r="DC8" s="203" t="s">
        <v>47</v>
      </c>
      <c r="DD8" s="203" t="s">
        <v>48</v>
      </c>
      <c r="DE8" s="203" t="s">
        <v>49</v>
      </c>
      <c r="DF8" s="203" t="s">
        <v>50</v>
      </c>
      <c r="DG8" s="207"/>
      <c r="DH8" s="203" t="s">
        <v>51</v>
      </c>
      <c r="DI8" s="203" t="s">
        <v>48</v>
      </c>
      <c r="DJ8" s="203" t="s">
        <v>49</v>
      </c>
      <c r="DK8" s="203" t="s">
        <v>50</v>
      </c>
      <c r="DL8" s="203" t="s">
        <v>52</v>
      </c>
      <c r="DN8" s="230" t="s">
        <v>15</v>
      </c>
      <c r="DO8" s="231" t="s">
        <v>16</v>
      </c>
      <c r="DP8" s="232"/>
      <c r="DQ8" s="231" t="s">
        <v>46</v>
      </c>
      <c r="DR8" s="231" t="s">
        <v>22</v>
      </c>
      <c r="DT8" s="230" t="s">
        <v>15</v>
      </c>
      <c r="DU8" s="203" t="s">
        <v>47</v>
      </c>
      <c r="DV8" s="203" t="s">
        <v>48</v>
      </c>
      <c r="DW8" s="203" t="s">
        <v>1784</v>
      </c>
      <c r="DX8" s="203" t="s">
        <v>1781</v>
      </c>
      <c r="DY8" s="203" t="s">
        <v>49</v>
      </c>
      <c r="DZ8" s="203" t="s">
        <v>50</v>
      </c>
      <c r="EB8" s="233" t="s">
        <v>15</v>
      </c>
      <c r="EC8" s="233" t="s">
        <v>16</v>
      </c>
      <c r="ED8" s="233" t="s">
        <v>17</v>
      </c>
      <c r="EE8" s="233" t="s">
        <v>18</v>
      </c>
      <c r="EF8" s="233" t="s">
        <v>19</v>
      </c>
      <c r="EG8" s="234" t="s">
        <v>27</v>
      </c>
      <c r="EH8" s="234" t="s">
        <v>28</v>
      </c>
      <c r="EI8" s="234" t="s">
        <v>29</v>
      </c>
      <c r="EJ8" s="234" t="s">
        <v>30</v>
      </c>
      <c r="EL8" s="818" t="s">
        <v>21</v>
      </c>
      <c r="EM8" s="819" t="s">
        <v>22</v>
      </c>
      <c r="EN8" s="819" t="s">
        <v>23</v>
      </c>
      <c r="EO8" s="819" t="s">
        <v>24</v>
      </c>
      <c r="EP8" s="820" t="s">
        <v>25</v>
      </c>
      <c r="EQ8" s="819" t="s">
        <v>1937</v>
      </c>
      <c r="ER8" s="819" t="s">
        <v>1938</v>
      </c>
      <c r="ES8" s="819" t="s">
        <v>1939</v>
      </c>
      <c r="ET8" s="821" t="s">
        <v>1940</v>
      </c>
    </row>
    <row r="9" spans="1:150" ht="112.5" customHeight="1" x14ac:dyDescent="0.2">
      <c r="A9" s="235" t="s">
        <v>53</v>
      </c>
      <c r="B9" s="236" t="s">
        <v>54</v>
      </c>
      <c r="C9" s="237" t="s">
        <v>55</v>
      </c>
      <c r="D9" s="238" t="s">
        <v>56</v>
      </c>
      <c r="E9" s="3" t="s">
        <v>57</v>
      </c>
      <c r="F9" s="239" t="str">
        <f>+CONCATENATE(A9,E9)</f>
        <v>E1.P_A</v>
      </c>
      <c r="G9" s="240" t="s">
        <v>58</v>
      </c>
      <c r="H9" s="241" t="s">
        <v>59</v>
      </c>
      <c r="I9" s="242" t="s">
        <v>60</v>
      </c>
      <c r="J9" s="243" t="s">
        <v>61</v>
      </c>
      <c r="K9" s="244" t="str">
        <f>+CONCATENATE(F9,".",J9)</f>
        <v>E1.P_A.MR1</v>
      </c>
      <c r="L9" s="245" t="s">
        <v>62</v>
      </c>
      <c r="M9" s="246" t="s">
        <v>63</v>
      </c>
      <c r="N9" s="247">
        <v>0</v>
      </c>
      <c r="O9" s="248">
        <v>0.1</v>
      </c>
      <c r="P9" s="249" t="s">
        <v>64</v>
      </c>
      <c r="Q9" s="249" t="str">
        <f>+CONCATENATE(K9,"-",P9)</f>
        <v>E1.P_A.MR1-MP01-1</v>
      </c>
      <c r="R9" s="250" t="s">
        <v>65</v>
      </c>
      <c r="S9" s="251" t="s">
        <v>66</v>
      </c>
      <c r="T9" s="252">
        <v>0</v>
      </c>
      <c r="U9" s="253">
        <v>0.3</v>
      </c>
      <c r="V9" s="254" t="s">
        <v>67</v>
      </c>
      <c r="W9" s="255">
        <v>0</v>
      </c>
      <c r="X9" s="256">
        <v>0.1</v>
      </c>
      <c r="Y9" s="257">
        <v>0.1</v>
      </c>
      <c r="Z9" s="258">
        <v>0.1</v>
      </c>
      <c r="AA9" s="259">
        <f>300000001+1900000000+5000000+100000000+1870000000+60000000+50000000+22000000+300000000+200000000+130000000+430000000+1328477+100000000-1684614000-28800153</f>
        <v>3754914325</v>
      </c>
      <c r="AB9" s="260">
        <f>399001658+30000+588865084+107188933</f>
        <v>1095085675</v>
      </c>
      <c r="AC9" s="260">
        <v>200000000</v>
      </c>
      <c r="AD9" s="260"/>
      <c r="AE9" s="260"/>
      <c r="AF9" s="260"/>
      <c r="AG9" s="260">
        <f>SUM(AA9:AF9)</f>
        <v>5050000000</v>
      </c>
      <c r="AH9" s="260">
        <f t="shared" ref="AH9:AT9" si="0">+AA9</f>
        <v>3754914325</v>
      </c>
      <c r="AI9" s="260">
        <f t="shared" si="0"/>
        <v>1095085675</v>
      </c>
      <c r="AJ9" s="260">
        <f t="shared" si="0"/>
        <v>200000000</v>
      </c>
      <c r="AK9" s="260">
        <f t="shared" si="0"/>
        <v>0</v>
      </c>
      <c r="AL9" s="260">
        <f t="shared" si="0"/>
        <v>0</v>
      </c>
      <c r="AM9" s="260">
        <f t="shared" si="0"/>
        <v>0</v>
      </c>
      <c r="AN9" s="260">
        <f t="shared" si="0"/>
        <v>5050000000</v>
      </c>
      <c r="AO9" s="260">
        <f t="shared" si="0"/>
        <v>3754914325</v>
      </c>
      <c r="AP9" s="260">
        <f t="shared" si="0"/>
        <v>1095085675</v>
      </c>
      <c r="AQ9" s="260">
        <f t="shared" si="0"/>
        <v>200000000</v>
      </c>
      <c r="AR9" s="260">
        <f t="shared" si="0"/>
        <v>0</v>
      </c>
      <c r="AS9" s="260">
        <f t="shared" si="0"/>
        <v>0</v>
      </c>
      <c r="AT9" s="260">
        <f t="shared" si="0"/>
        <v>0</v>
      </c>
      <c r="AU9" s="260">
        <f t="shared" ref="AU9" si="1">SUM(AO9:AT9)</f>
        <v>5050000000</v>
      </c>
      <c r="AV9" s="260">
        <f>+AO9</f>
        <v>3754914325</v>
      </c>
      <c r="AW9" s="260">
        <f t="shared" ref="AW9:BA9" si="2">+AP9</f>
        <v>1095085675</v>
      </c>
      <c r="AX9" s="260">
        <f t="shared" si="2"/>
        <v>200000000</v>
      </c>
      <c r="AY9" s="260">
        <f t="shared" si="2"/>
        <v>0</v>
      </c>
      <c r="AZ9" s="260">
        <f t="shared" si="2"/>
        <v>0</v>
      </c>
      <c r="BA9" s="260">
        <f t="shared" si="2"/>
        <v>0</v>
      </c>
      <c r="BB9" s="260">
        <f>SUM(AV9:BA9)</f>
        <v>5050000000</v>
      </c>
      <c r="BC9" s="261">
        <f t="shared" ref="BC9" si="3">+BB9+AU9+AN9+AG9</f>
        <v>20200000000</v>
      </c>
      <c r="BD9" s="262" t="s">
        <v>68</v>
      </c>
      <c r="BF9" s="263" t="s">
        <v>53</v>
      </c>
      <c r="BG9" s="264" t="s">
        <v>54</v>
      </c>
      <c r="BI9" s="265" t="s">
        <v>53</v>
      </c>
      <c r="BJ9" s="266" t="s">
        <v>54</v>
      </c>
      <c r="BK9" s="4" t="s">
        <v>69</v>
      </c>
      <c r="BL9" s="267" t="s">
        <v>58</v>
      </c>
      <c r="BN9" s="5" t="s">
        <v>69</v>
      </c>
      <c r="BO9" s="268" t="s">
        <v>58</v>
      </c>
      <c r="BP9" s="6" t="s">
        <v>70</v>
      </c>
      <c r="BQ9" s="269" t="s">
        <v>62</v>
      </c>
      <c r="BS9" s="270" t="s">
        <v>73</v>
      </c>
      <c r="BT9" s="270" t="s">
        <v>73</v>
      </c>
      <c r="BU9" s="270" t="s">
        <v>73</v>
      </c>
      <c r="BV9" s="270"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0" t="s">
        <v>73</v>
      </c>
      <c r="EC9" s="270" t="s">
        <v>73</v>
      </c>
      <c r="ED9" s="270" t="s">
        <v>73</v>
      </c>
      <c r="EE9" s="271" t="s">
        <v>73</v>
      </c>
      <c r="EF9" s="272" t="s">
        <v>73</v>
      </c>
      <c r="EG9" s="270"/>
      <c r="EH9" s="270"/>
      <c r="EI9" s="270"/>
      <c r="EJ9" s="270"/>
      <c r="EL9" s="822" t="s">
        <v>71</v>
      </c>
      <c r="EM9" s="823" t="s">
        <v>65</v>
      </c>
      <c r="EN9" s="273" t="s">
        <v>1893</v>
      </c>
      <c r="EO9" s="274">
        <v>0</v>
      </c>
      <c r="EP9" s="275">
        <v>30</v>
      </c>
      <c r="EQ9" s="275">
        <v>0</v>
      </c>
      <c r="ER9" s="815">
        <v>0</v>
      </c>
      <c r="ES9" s="815">
        <v>0</v>
      </c>
      <c r="ET9" s="824">
        <v>30</v>
      </c>
    </row>
    <row r="10" spans="1:150" ht="93.75" customHeight="1" x14ac:dyDescent="0.25">
      <c r="A10" s="277" t="s">
        <v>53</v>
      </c>
      <c r="B10" s="278" t="s">
        <v>54</v>
      </c>
      <c r="C10" s="279" t="s">
        <v>55</v>
      </c>
      <c r="D10" s="280"/>
      <c r="E10" s="8" t="s">
        <v>57</v>
      </c>
      <c r="F10" s="281" t="str">
        <f t="shared" ref="F10:F73" si="4">+CONCATENATE(A10,E10)</f>
        <v>E1.P_A</v>
      </c>
      <c r="G10" s="282" t="s">
        <v>58</v>
      </c>
      <c r="H10" s="282" t="s">
        <v>59</v>
      </c>
      <c r="I10" s="283"/>
      <c r="J10" s="284" t="s">
        <v>61</v>
      </c>
      <c r="K10" s="285" t="str">
        <f t="shared" ref="K10:K73" si="5">+CONCATENATE(F10,".",J10)</f>
        <v>E1.P_A.MR1</v>
      </c>
      <c r="L10" s="286" t="s">
        <v>62</v>
      </c>
      <c r="M10" s="287" t="s">
        <v>63</v>
      </c>
      <c r="N10" s="288">
        <v>0</v>
      </c>
      <c r="O10" s="289">
        <v>0.1</v>
      </c>
      <c r="P10" s="290" t="s">
        <v>74</v>
      </c>
      <c r="Q10" s="290" t="str">
        <f t="shared" ref="Q10:Q73" si="6">+CONCATENATE(K10,"-",P10)</f>
        <v>E1.P_A.MR1-MP01-2</v>
      </c>
      <c r="R10" s="291" t="s">
        <v>65</v>
      </c>
      <c r="S10" s="292" t="s">
        <v>75</v>
      </c>
      <c r="T10" s="293">
        <v>0</v>
      </c>
      <c r="U10" s="294">
        <v>1</v>
      </c>
      <c r="V10" s="293" t="s">
        <v>67</v>
      </c>
      <c r="W10" s="295">
        <v>0</v>
      </c>
      <c r="X10" s="296">
        <v>30</v>
      </c>
      <c r="Y10" s="295">
        <v>40</v>
      </c>
      <c r="Z10" s="297">
        <v>30</v>
      </c>
      <c r="AA10" s="298"/>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300"/>
      <c r="BD10" s="301" t="s">
        <v>68</v>
      </c>
      <c r="BF10" s="263" t="s">
        <v>76</v>
      </c>
      <c r="BG10" s="264" t="s">
        <v>77</v>
      </c>
      <c r="BI10" s="302"/>
      <c r="BJ10" s="303"/>
      <c r="BK10" s="9" t="s">
        <v>78</v>
      </c>
      <c r="BL10" s="304" t="s">
        <v>79</v>
      </c>
      <c r="BN10" s="10" t="s">
        <v>69</v>
      </c>
      <c r="BO10" s="305" t="s">
        <v>58</v>
      </c>
      <c r="BP10" s="11" t="s">
        <v>80</v>
      </c>
      <c r="BQ10" s="306"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7" t="s">
        <v>70</v>
      </c>
      <c r="EC10" s="308" t="s">
        <v>62</v>
      </c>
      <c r="ED10" s="309" t="s">
        <v>63</v>
      </c>
      <c r="EE10" s="310">
        <v>0</v>
      </c>
      <c r="EF10" s="311">
        <v>10</v>
      </c>
      <c r="EG10" s="270"/>
      <c r="EH10" s="270"/>
      <c r="EI10" s="270"/>
      <c r="EJ10" s="270"/>
      <c r="EL10" s="822" t="s">
        <v>82</v>
      </c>
      <c r="EM10" s="823" t="s">
        <v>65</v>
      </c>
      <c r="EN10" s="273" t="s">
        <v>75</v>
      </c>
      <c r="EO10" s="274">
        <v>0</v>
      </c>
      <c r="EP10" s="807">
        <v>1</v>
      </c>
      <c r="EQ10" s="806">
        <v>0</v>
      </c>
      <c r="ER10" s="815">
        <v>0</v>
      </c>
      <c r="ES10" s="815">
        <v>0</v>
      </c>
      <c r="ET10" s="824">
        <v>1</v>
      </c>
    </row>
    <row r="11" spans="1:150" ht="46.5" customHeight="1" x14ac:dyDescent="0.25">
      <c r="A11" s="277" t="s">
        <v>53</v>
      </c>
      <c r="B11" s="278" t="s">
        <v>54</v>
      </c>
      <c r="C11" s="279" t="s">
        <v>55</v>
      </c>
      <c r="D11" s="280"/>
      <c r="E11" s="8" t="s">
        <v>57</v>
      </c>
      <c r="F11" s="281" t="str">
        <f t="shared" si="4"/>
        <v>E1.P_A</v>
      </c>
      <c r="G11" s="282" t="s">
        <v>58</v>
      </c>
      <c r="H11" s="282" t="s">
        <v>59</v>
      </c>
      <c r="I11" s="283"/>
      <c r="J11" s="284" t="s">
        <v>61</v>
      </c>
      <c r="K11" s="285" t="str">
        <f t="shared" si="5"/>
        <v>E1.P_A.MR1</v>
      </c>
      <c r="L11" s="286" t="s">
        <v>62</v>
      </c>
      <c r="M11" s="287" t="s">
        <v>63</v>
      </c>
      <c r="N11" s="288">
        <v>0</v>
      </c>
      <c r="O11" s="289">
        <v>0.1</v>
      </c>
      <c r="P11" s="312" t="s">
        <v>87</v>
      </c>
      <c r="Q11" s="290" t="str">
        <f t="shared" si="6"/>
        <v>E1.P_A.MR1-MP02-1</v>
      </c>
      <c r="R11" s="313" t="s">
        <v>88</v>
      </c>
      <c r="S11" s="314" t="s">
        <v>89</v>
      </c>
      <c r="T11" s="293">
        <v>1</v>
      </c>
      <c r="U11" s="294">
        <v>2</v>
      </c>
      <c r="V11" s="293" t="s">
        <v>67</v>
      </c>
      <c r="W11" s="295">
        <v>0</v>
      </c>
      <c r="X11" s="296">
        <v>1</v>
      </c>
      <c r="Y11" s="315">
        <v>0.5</v>
      </c>
      <c r="Z11" s="316">
        <v>0.5</v>
      </c>
      <c r="AA11" s="298"/>
      <c r="AB11" s="299"/>
      <c r="AC11" s="299"/>
      <c r="AD11" s="299"/>
      <c r="AE11" s="299"/>
      <c r="AF11" s="299"/>
      <c r="AG11" s="299"/>
      <c r="AH11" s="299"/>
      <c r="AI11" s="299"/>
      <c r="AJ11" s="299"/>
      <c r="AK11" s="299"/>
      <c r="AL11" s="299"/>
      <c r="AM11" s="299"/>
      <c r="AN11" s="299"/>
      <c r="AO11" s="299"/>
      <c r="AP11" s="299"/>
      <c r="AQ11" s="299"/>
      <c r="AR11" s="299"/>
      <c r="AS11" s="299"/>
      <c r="AT11" s="299"/>
      <c r="AU11" s="299"/>
      <c r="AV11" s="299"/>
      <c r="AW11" s="299"/>
      <c r="AX11" s="299"/>
      <c r="AY11" s="299"/>
      <c r="AZ11" s="299"/>
      <c r="BA11" s="299"/>
      <c r="BB11" s="299"/>
      <c r="BC11" s="300"/>
      <c r="BD11" s="301" t="s">
        <v>68</v>
      </c>
      <c r="BF11" s="263" t="s">
        <v>90</v>
      </c>
      <c r="BG11" s="264" t="s">
        <v>91</v>
      </c>
      <c r="BI11" s="302"/>
      <c r="BJ11" s="303"/>
      <c r="BK11" s="9" t="s">
        <v>92</v>
      </c>
      <c r="BL11" s="304" t="s">
        <v>93</v>
      </c>
      <c r="BN11" s="10" t="s">
        <v>69</v>
      </c>
      <c r="BO11" s="305" t="s">
        <v>58</v>
      </c>
      <c r="BP11" s="11" t="s">
        <v>94</v>
      </c>
      <c r="BQ11" s="306"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7" t="s">
        <v>70</v>
      </c>
      <c r="EC11" s="317" t="s">
        <v>155</v>
      </c>
      <c r="ED11" s="317" t="s">
        <v>63</v>
      </c>
      <c r="EE11" s="310">
        <v>0</v>
      </c>
      <c r="EF11" s="311">
        <v>10</v>
      </c>
      <c r="EG11" s="270"/>
      <c r="EH11" s="270"/>
      <c r="EI11" s="270"/>
      <c r="EJ11" s="270"/>
      <c r="EL11" s="822" t="s">
        <v>96</v>
      </c>
      <c r="EM11" s="318" t="s">
        <v>88</v>
      </c>
      <c r="EN11" s="274" t="s">
        <v>89</v>
      </c>
      <c r="EO11" s="274">
        <v>1</v>
      </c>
      <c r="EP11" s="274">
        <v>2</v>
      </c>
      <c r="EQ11" s="275">
        <v>0</v>
      </c>
      <c r="ER11" s="815">
        <v>0.5</v>
      </c>
      <c r="ES11" s="276">
        <v>0.5</v>
      </c>
      <c r="ET11" s="824">
        <v>1</v>
      </c>
    </row>
    <row r="12" spans="1:150" ht="78" customHeight="1" thickBot="1" x14ac:dyDescent="0.3">
      <c r="A12" s="277" t="s">
        <v>53</v>
      </c>
      <c r="B12" s="278" t="s">
        <v>54</v>
      </c>
      <c r="C12" s="279" t="s">
        <v>55</v>
      </c>
      <c r="D12" s="280"/>
      <c r="E12" s="8" t="s">
        <v>57</v>
      </c>
      <c r="F12" s="281" t="str">
        <f t="shared" si="4"/>
        <v>E1.P_A</v>
      </c>
      <c r="G12" s="282" t="s">
        <v>58</v>
      </c>
      <c r="H12" s="282" t="s">
        <v>59</v>
      </c>
      <c r="I12" s="283"/>
      <c r="J12" s="284" t="s">
        <v>61</v>
      </c>
      <c r="K12" s="285" t="str">
        <f t="shared" si="5"/>
        <v>E1.P_A.MR1</v>
      </c>
      <c r="L12" s="286" t="s">
        <v>62</v>
      </c>
      <c r="M12" s="287" t="s">
        <v>63</v>
      </c>
      <c r="N12" s="288">
        <v>0</v>
      </c>
      <c r="O12" s="289">
        <v>0.1</v>
      </c>
      <c r="P12" s="312" t="s">
        <v>99</v>
      </c>
      <c r="Q12" s="290" t="str">
        <f t="shared" si="6"/>
        <v>E1.P_A.MR1-MP03-1</v>
      </c>
      <c r="R12" s="313" t="s">
        <v>100</v>
      </c>
      <c r="S12" s="314" t="s">
        <v>101</v>
      </c>
      <c r="T12" s="319">
        <v>0.98</v>
      </c>
      <c r="U12" s="320">
        <v>0.98</v>
      </c>
      <c r="V12" s="319" t="s">
        <v>102</v>
      </c>
      <c r="W12" s="321">
        <v>0.98</v>
      </c>
      <c r="X12" s="322">
        <v>0.98</v>
      </c>
      <c r="Y12" s="321">
        <v>0.98</v>
      </c>
      <c r="Z12" s="323">
        <v>0.98</v>
      </c>
      <c r="AA12" s="324"/>
      <c r="AB12" s="325"/>
      <c r="AC12" s="325"/>
      <c r="AD12" s="325"/>
      <c r="AE12" s="325"/>
      <c r="AF12" s="325"/>
      <c r="AG12" s="325"/>
      <c r="AH12" s="325"/>
      <c r="AI12" s="325"/>
      <c r="AJ12" s="325"/>
      <c r="AK12" s="325"/>
      <c r="AL12" s="325"/>
      <c r="AM12" s="325"/>
      <c r="AN12" s="325"/>
      <c r="AO12" s="325"/>
      <c r="AP12" s="325"/>
      <c r="AQ12" s="325"/>
      <c r="AR12" s="325"/>
      <c r="AS12" s="325"/>
      <c r="AT12" s="325"/>
      <c r="AU12" s="325"/>
      <c r="AV12" s="325"/>
      <c r="AW12" s="325"/>
      <c r="AX12" s="325"/>
      <c r="AY12" s="325"/>
      <c r="AZ12" s="325"/>
      <c r="BA12" s="325"/>
      <c r="BB12" s="325"/>
      <c r="BC12" s="326"/>
      <c r="BD12" s="301" t="s">
        <v>68</v>
      </c>
      <c r="BF12" s="327" t="s">
        <v>103</v>
      </c>
      <c r="BG12" s="328" t="s">
        <v>104</v>
      </c>
      <c r="BI12" s="302"/>
      <c r="BJ12" s="303"/>
      <c r="BK12" s="9" t="s">
        <v>105</v>
      </c>
      <c r="BL12" s="304" t="s">
        <v>106</v>
      </c>
      <c r="BN12" s="10" t="s">
        <v>69</v>
      </c>
      <c r="BO12" s="305" t="s">
        <v>58</v>
      </c>
      <c r="BP12" s="11" t="s">
        <v>107</v>
      </c>
      <c r="BQ12" s="306"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7" t="s">
        <v>80</v>
      </c>
      <c r="EC12" s="308" t="s">
        <v>81</v>
      </c>
      <c r="ED12" s="309" t="s">
        <v>168</v>
      </c>
      <c r="EE12" s="310">
        <v>3</v>
      </c>
      <c r="EF12" s="311">
        <v>2</v>
      </c>
      <c r="EG12" s="270"/>
      <c r="EH12" s="270"/>
      <c r="EI12" s="270"/>
      <c r="EJ12" s="270"/>
      <c r="EL12" s="822" t="s">
        <v>109</v>
      </c>
      <c r="EM12" s="318" t="s">
        <v>100</v>
      </c>
      <c r="EN12" s="274" t="s">
        <v>1894</v>
      </c>
      <c r="EO12" s="329">
        <v>98</v>
      </c>
      <c r="EP12" s="329">
        <v>98</v>
      </c>
      <c r="EQ12" s="329">
        <v>98</v>
      </c>
      <c r="ER12" s="329">
        <v>98</v>
      </c>
      <c r="ES12" s="329">
        <v>98</v>
      </c>
      <c r="ET12" s="825">
        <v>98</v>
      </c>
    </row>
    <row r="13" spans="1:150" ht="63.75" customHeight="1" thickBot="1" x14ac:dyDescent="0.25">
      <c r="A13" s="277" t="s">
        <v>53</v>
      </c>
      <c r="B13" s="278" t="s">
        <v>54</v>
      </c>
      <c r="C13" s="279" t="s">
        <v>55</v>
      </c>
      <c r="D13" s="280"/>
      <c r="E13" s="8" t="s">
        <v>57</v>
      </c>
      <c r="F13" s="281" t="str">
        <f t="shared" si="4"/>
        <v>E1.P_A</v>
      </c>
      <c r="G13" s="282" t="s">
        <v>58</v>
      </c>
      <c r="H13" s="282" t="s">
        <v>59</v>
      </c>
      <c r="I13" s="283"/>
      <c r="J13" s="284" t="s">
        <v>61</v>
      </c>
      <c r="K13" s="285" t="str">
        <f t="shared" si="5"/>
        <v>E1.P_A.MR1</v>
      </c>
      <c r="L13" s="286" t="s">
        <v>62</v>
      </c>
      <c r="M13" s="287" t="s">
        <v>63</v>
      </c>
      <c r="N13" s="288">
        <v>0</v>
      </c>
      <c r="O13" s="289">
        <v>0.1</v>
      </c>
      <c r="P13" s="312" t="s">
        <v>112</v>
      </c>
      <c r="Q13" s="290" t="str">
        <f t="shared" si="6"/>
        <v>E1.P_A.MR1-MP04-1</v>
      </c>
      <c r="R13" s="313" t="s">
        <v>113</v>
      </c>
      <c r="S13" s="314" t="s">
        <v>114</v>
      </c>
      <c r="T13" s="293">
        <v>0</v>
      </c>
      <c r="U13" s="294">
        <v>3</v>
      </c>
      <c r="V13" s="293" t="s">
        <v>67</v>
      </c>
      <c r="W13" s="315">
        <v>0.5</v>
      </c>
      <c r="X13" s="330">
        <v>0.5</v>
      </c>
      <c r="Y13" s="295">
        <v>1</v>
      </c>
      <c r="Z13" s="297">
        <v>1</v>
      </c>
      <c r="AA13" s="298"/>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299"/>
      <c r="BB13" s="299"/>
      <c r="BC13" s="300"/>
      <c r="BD13" s="301" t="s">
        <v>68</v>
      </c>
      <c r="BI13" s="302"/>
      <c r="BJ13" s="303"/>
      <c r="BK13" s="9" t="s">
        <v>115</v>
      </c>
      <c r="BL13" s="304" t="s">
        <v>116</v>
      </c>
      <c r="BN13" s="12" t="s">
        <v>69</v>
      </c>
      <c r="BO13" s="331" t="s">
        <v>58</v>
      </c>
      <c r="BP13" s="13" t="s">
        <v>117</v>
      </c>
      <c r="BQ13" s="332"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7" t="s">
        <v>94</v>
      </c>
      <c r="EC13" s="308" t="s">
        <v>95</v>
      </c>
      <c r="ED13" s="309" t="s">
        <v>213</v>
      </c>
      <c r="EE13" s="310" t="s">
        <v>214</v>
      </c>
      <c r="EF13" s="333" t="s">
        <v>214</v>
      </c>
      <c r="EG13" s="270"/>
      <c r="EH13" s="270"/>
      <c r="EI13" s="270"/>
      <c r="EJ13" s="270"/>
      <c r="EL13" s="822" t="s">
        <v>119</v>
      </c>
      <c r="EM13" s="318" t="s">
        <v>113</v>
      </c>
      <c r="EN13" s="274" t="s">
        <v>114</v>
      </c>
      <c r="EO13" s="274">
        <v>0</v>
      </c>
      <c r="EP13" s="274">
        <v>3</v>
      </c>
      <c r="EQ13" s="276">
        <v>0.5</v>
      </c>
      <c r="ER13" s="276">
        <v>0.5</v>
      </c>
      <c r="ES13" s="275">
        <v>1</v>
      </c>
      <c r="ET13" s="826">
        <v>1</v>
      </c>
    </row>
    <row r="14" spans="1:150" ht="55.5" customHeight="1" x14ac:dyDescent="0.25">
      <c r="A14" s="277" t="s">
        <v>53</v>
      </c>
      <c r="B14" s="278" t="s">
        <v>54</v>
      </c>
      <c r="C14" s="279" t="s">
        <v>55</v>
      </c>
      <c r="D14" s="280"/>
      <c r="E14" s="8" t="s">
        <v>57</v>
      </c>
      <c r="F14" s="281" t="str">
        <f t="shared" si="4"/>
        <v>E1.P_A</v>
      </c>
      <c r="G14" s="282" t="s">
        <v>58</v>
      </c>
      <c r="H14" s="282" t="s">
        <v>59</v>
      </c>
      <c r="I14" s="283"/>
      <c r="J14" s="284" t="s">
        <v>61</v>
      </c>
      <c r="K14" s="285" t="str">
        <f t="shared" si="5"/>
        <v>E1.P_A.MR1</v>
      </c>
      <c r="L14" s="286" t="s">
        <v>62</v>
      </c>
      <c r="M14" s="287" t="s">
        <v>63</v>
      </c>
      <c r="N14" s="288">
        <v>0</v>
      </c>
      <c r="O14" s="289">
        <v>0.1</v>
      </c>
      <c r="P14" s="312" t="s">
        <v>122</v>
      </c>
      <c r="Q14" s="290" t="str">
        <f t="shared" si="6"/>
        <v>E1.P_A.MR1-MP05-1</v>
      </c>
      <c r="R14" s="313" t="s">
        <v>123</v>
      </c>
      <c r="S14" s="314" t="s">
        <v>124</v>
      </c>
      <c r="T14" s="293">
        <v>3</v>
      </c>
      <c r="U14" s="294">
        <v>3</v>
      </c>
      <c r="V14" s="293" t="s">
        <v>102</v>
      </c>
      <c r="W14" s="295">
        <v>3</v>
      </c>
      <c r="X14" s="296">
        <v>3</v>
      </c>
      <c r="Y14" s="295">
        <v>3</v>
      </c>
      <c r="Z14" s="297">
        <v>3</v>
      </c>
      <c r="AA14" s="298"/>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299"/>
      <c r="BB14" s="299"/>
      <c r="BC14" s="300"/>
      <c r="BD14" s="301" t="s">
        <v>68</v>
      </c>
      <c r="BI14" s="302"/>
      <c r="BJ14" s="303"/>
      <c r="BK14" s="9" t="s">
        <v>125</v>
      </c>
      <c r="BL14" s="304" t="s">
        <v>126</v>
      </c>
      <c r="BN14" s="5" t="s">
        <v>78</v>
      </c>
      <c r="BO14" s="268" t="s">
        <v>79</v>
      </c>
      <c r="BP14" s="6" t="s">
        <v>127</v>
      </c>
      <c r="BQ14" s="269"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7" t="s">
        <v>107</v>
      </c>
      <c r="EC14" s="308" t="s">
        <v>108</v>
      </c>
      <c r="ED14" s="309" t="s">
        <v>269</v>
      </c>
      <c r="EE14" s="334">
        <v>0</v>
      </c>
      <c r="EF14" s="335">
        <v>4</v>
      </c>
      <c r="EG14" s="270"/>
      <c r="EH14" s="270"/>
      <c r="EI14" s="270"/>
      <c r="EJ14" s="270"/>
      <c r="EL14" s="822" t="s">
        <v>129</v>
      </c>
      <c r="EM14" s="318" t="s">
        <v>123</v>
      </c>
      <c r="EN14" s="274" t="s">
        <v>124</v>
      </c>
      <c r="EO14" s="274">
        <v>3</v>
      </c>
      <c r="EP14" s="274">
        <v>3</v>
      </c>
      <c r="EQ14" s="275">
        <v>3</v>
      </c>
      <c r="ER14" s="275">
        <v>3</v>
      </c>
      <c r="ES14" s="275">
        <v>3</v>
      </c>
      <c r="ET14" s="826">
        <v>3</v>
      </c>
    </row>
    <row r="15" spans="1:150" ht="48.75" customHeight="1" x14ac:dyDescent="0.25">
      <c r="A15" s="277" t="s">
        <v>53</v>
      </c>
      <c r="B15" s="278" t="s">
        <v>54</v>
      </c>
      <c r="C15" s="279" t="s">
        <v>55</v>
      </c>
      <c r="D15" s="280"/>
      <c r="E15" s="8" t="s">
        <v>57</v>
      </c>
      <c r="F15" s="281" t="str">
        <f t="shared" si="4"/>
        <v>E1.P_A</v>
      </c>
      <c r="G15" s="282" t="s">
        <v>58</v>
      </c>
      <c r="H15" s="282" t="s">
        <v>59</v>
      </c>
      <c r="I15" s="283"/>
      <c r="J15" s="284" t="s">
        <v>61</v>
      </c>
      <c r="K15" s="285" t="str">
        <f t="shared" si="5"/>
        <v>E1.P_A.MR1</v>
      </c>
      <c r="L15" s="286" t="s">
        <v>62</v>
      </c>
      <c r="M15" s="287" t="s">
        <v>63</v>
      </c>
      <c r="N15" s="288">
        <v>0</v>
      </c>
      <c r="O15" s="289">
        <v>0.1</v>
      </c>
      <c r="P15" s="312" t="s">
        <v>132</v>
      </c>
      <c r="Q15" s="290" t="str">
        <f t="shared" si="6"/>
        <v>E1.P_A.MR1-MP06-1</v>
      </c>
      <c r="R15" s="313" t="s">
        <v>133</v>
      </c>
      <c r="S15" s="314" t="s">
        <v>134</v>
      </c>
      <c r="T15" s="293">
        <v>3</v>
      </c>
      <c r="U15" s="294">
        <v>3</v>
      </c>
      <c r="V15" s="293" t="s">
        <v>102</v>
      </c>
      <c r="W15" s="295">
        <v>3</v>
      </c>
      <c r="X15" s="296">
        <v>3</v>
      </c>
      <c r="Y15" s="295">
        <v>3</v>
      </c>
      <c r="Z15" s="297">
        <v>3</v>
      </c>
      <c r="AA15" s="298"/>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299"/>
      <c r="BB15" s="299"/>
      <c r="BC15" s="300"/>
      <c r="BD15" s="301" t="s">
        <v>68</v>
      </c>
      <c r="BI15" s="302"/>
      <c r="BJ15" s="303"/>
      <c r="BK15" s="9" t="s">
        <v>135</v>
      </c>
      <c r="BL15" s="304" t="s">
        <v>136</v>
      </c>
      <c r="BN15" s="10" t="s">
        <v>78</v>
      </c>
      <c r="BO15" s="305" t="s">
        <v>79</v>
      </c>
      <c r="BP15" s="11" t="s">
        <v>137</v>
      </c>
      <c r="BQ15" s="306"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7" t="s">
        <v>117</v>
      </c>
      <c r="EC15" s="308" t="s">
        <v>118</v>
      </c>
      <c r="ED15" s="309" t="s">
        <v>328</v>
      </c>
      <c r="EE15" s="310">
        <v>0</v>
      </c>
      <c r="EF15" s="335">
        <v>1</v>
      </c>
      <c r="EG15" s="270"/>
      <c r="EH15" s="270"/>
      <c r="EI15" s="270"/>
      <c r="EJ15" s="270"/>
      <c r="EL15" s="822" t="s">
        <v>139</v>
      </c>
      <c r="EM15" s="318" t="s">
        <v>133</v>
      </c>
      <c r="EN15" s="274" t="s">
        <v>134</v>
      </c>
      <c r="EO15" s="274">
        <v>3</v>
      </c>
      <c r="EP15" s="274">
        <v>3</v>
      </c>
      <c r="EQ15" s="275">
        <v>3</v>
      </c>
      <c r="ER15" s="275">
        <v>3</v>
      </c>
      <c r="ES15" s="275">
        <v>3</v>
      </c>
      <c r="ET15" s="826">
        <v>3</v>
      </c>
    </row>
    <row r="16" spans="1:150" ht="64.5" customHeight="1" thickBot="1" x14ac:dyDescent="0.3">
      <c r="A16" s="277" t="s">
        <v>53</v>
      </c>
      <c r="B16" s="278" t="s">
        <v>54</v>
      </c>
      <c r="C16" s="279" t="s">
        <v>55</v>
      </c>
      <c r="D16" s="280"/>
      <c r="E16" s="8" t="s">
        <v>57</v>
      </c>
      <c r="F16" s="281" t="str">
        <f t="shared" si="4"/>
        <v>E1.P_A</v>
      </c>
      <c r="G16" s="282" t="s">
        <v>58</v>
      </c>
      <c r="H16" s="282" t="s">
        <v>59</v>
      </c>
      <c r="I16" s="283"/>
      <c r="J16" s="284" t="s">
        <v>61</v>
      </c>
      <c r="K16" s="285" t="str">
        <f t="shared" si="5"/>
        <v>E1.P_A.MR1</v>
      </c>
      <c r="L16" s="286" t="s">
        <v>62</v>
      </c>
      <c r="M16" s="287" t="s">
        <v>63</v>
      </c>
      <c r="N16" s="288">
        <v>0</v>
      </c>
      <c r="O16" s="289">
        <v>0.1</v>
      </c>
      <c r="P16" s="312" t="s">
        <v>142</v>
      </c>
      <c r="Q16" s="290" t="str">
        <f t="shared" si="6"/>
        <v>E1.P_A.MR1-MP07-1</v>
      </c>
      <c r="R16" s="336" t="s">
        <v>143</v>
      </c>
      <c r="S16" s="337" t="s">
        <v>144</v>
      </c>
      <c r="T16" s="338">
        <v>3</v>
      </c>
      <c r="U16" s="339">
        <v>3</v>
      </c>
      <c r="V16" s="293" t="s">
        <v>102</v>
      </c>
      <c r="W16" s="295">
        <v>3</v>
      </c>
      <c r="X16" s="296">
        <v>3</v>
      </c>
      <c r="Y16" s="295">
        <v>3</v>
      </c>
      <c r="Z16" s="297">
        <v>3</v>
      </c>
      <c r="AA16" s="298"/>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299"/>
      <c r="BB16" s="299"/>
      <c r="BC16" s="300"/>
      <c r="BD16" s="301" t="s">
        <v>68</v>
      </c>
      <c r="BI16" s="302"/>
      <c r="BJ16" s="303"/>
      <c r="BK16" s="9" t="s">
        <v>145</v>
      </c>
      <c r="BL16" s="304" t="s">
        <v>146</v>
      </c>
      <c r="BN16" s="12" t="s">
        <v>78</v>
      </c>
      <c r="BO16" s="331" t="s">
        <v>79</v>
      </c>
      <c r="BP16" s="13" t="s">
        <v>147</v>
      </c>
      <c r="BQ16" s="332"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7" t="s">
        <v>127</v>
      </c>
      <c r="EC16" s="308" t="s">
        <v>128</v>
      </c>
      <c r="ED16" s="309" t="s">
        <v>374</v>
      </c>
      <c r="EE16" s="310">
        <v>20</v>
      </c>
      <c r="EF16" s="335">
        <v>100</v>
      </c>
      <c r="EG16" s="270"/>
      <c r="EH16" s="270"/>
      <c r="EI16" s="270"/>
      <c r="EJ16" s="270"/>
      <c r="EL16" s="822" t="s">
        <v>149</v>
      </c>
      <c r="EM16" s="318" t="s">
        <v>143</v>
      </c>
      <c r="EN16" s="274" t="s">
        <v>144</v>
      </c>
      <c r="EO16" s="274">
        <v>3</v>
      </c>
      <c r="EP16" s="274">
        <v>3</v>
      </c>
      <c r="EQ16" s="275">
        <v>3</v>
      </c>
      <c r="ER16" s="275">
        <v>3</v>
      </c>
      <c r="ES16" s="275">
        <v>3</v>
      </c>
      <c r="ET16" s="826">
        <v>3</v>
      </c>
    </row>
    <row r="17" spans="1:150" ht="94.5" customHeight="1" thickBot="1" x14ac:dyDescent="0.25">
      <c r="A17" s="277" t="s">
        <v>53</v>
      </c>
      <c r="B17" s="278" t="s">
        <v>54</v>
      </c>
      <c r="C17" s="279" t="s">
        <v>55</v>
      </c>
      <c r="D17" s="280"/>
      <c r="E17" s="8" t="s">
        <v>57</v>
      </c>
      <c r="F17" s="281" t="str">
        <f t="shared" si="4"/>
        <v>E1.P_A</v>
      </c>
      <c r="G17" s="282" t="s">
        <v>58</v>
      </c>
      <c r="H17" s="282" t="s">
        <v>59</v>
      </c>
      <c r="I17" s="812" t="s">
        <v>154</v>
      </c>
      <c r="J17" s="340" t="s">
        <v>61</v>
      </c>
      <c r="K17" s="341" t="str">
        <f t="shared" si="5"/>
        <v>E1.P_A.MR1</v>
      </c>
      <c r="L17" s="342" t="s">
        <v>155</v>
      </c>
      <c r="M17" s="343" t="s">
        <v>63</v>
      </c>
      <c r="N17" s="344">
        <v>0</v>
      </c>
      <c r="O17" s="345">
        <v>0.1</v>
      </c>
      <c r="P17" s="346" t="s">
        <v>156</v>
      </c>
      <c r="Q17" s="347" t="str">
        <f t="shared" si="6"/>
        <v>E1.P_A.MR1-MP08-1</v>
      </c>
      <c r="R17" s="348" t="s">
        <v>157</v>
      </c>
      <c r="S17" s="349" t="s">
        <v>158</v>
      </c>
      <c r="T17" s="350">
        <v>0</v>
      </c>
      <c r="U17" s="351">
        <v>3</v>
      </c>
      <c r="V17" s="350" t="s">
        <v>67</v>
      </c>
      <c r="W17" s="352">
        <v>0</v>
      </c>
      <c r="X17" s="353">
        <v>1</v>
      </c>
      <c r="Y17" s="352">
        <v>1</v>
      </c>
      <c r="Z17" s="354">
        <v>1</v>
      </c>
      <c r="AA17" s="298"/>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c r="BB17" s="299"/>
      <c r="BC17" s="300"/>
      <c r="BD17" s="301" t="s">
        <v>68</v>
      </c>
      <c r="BI17" s="302"/>
      <c r="BJ17" s="303"/>
      <c r="BK17" s="9" t="s">
        <v>159</v>
      </c>
      <c r="BL17" s="304" t="s">
        <v>160</v>
      </c>
      <c r="BN17" s="14" t="s">
        <v>92</v>
      </c>
      <c r="BO17" s="355" t="s">
        <v>93</v>
      </c>
      <c r="BP17" s="15" t="s">
        <v>161</v>
      </c>
      <c r="BQ17" s="356"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7" t="s">
        <v>137</v>
      </c>
      <c r="EC17" s="308" t="s">
        <v>138</v>
      </c>
      <c r="ED17" s="309" t="s">
        <v>420</v>
      </c>
      <c r="EE17" s="357">
        <v>5295</v>
      </c>
      <c r="EF17" s="333">
        <v>5295</v>
      </c>
      <c r="EG17" s="270"/>
      <c r="EH17" s="270"/>
      <c r="EI17" s="270"/>
      <c r="EJ17" s="270"/>
      <c r="EL17" s="822" t="s">
        <v>163</v>
      </c>
      <c r="EM17" s="318" t="s">
        <v>157</v>
      </c>
      <c r="EN17" s="274" t="s">
        <v>158</v>
      </c>
      <c r="EO17" s="274">
        <v>0</v>
      </c>
      <c r="EP17" s="274">
        <v>3</v>
      </c>
      <c r="EQ17" s="275">
        <v>1</v>
      </c>
      <c r="ER17" s="816">
        <v>0.66</v>
      </c>
      <c r="ES17" s="816">
        <v>0.66</v>
      </c>
      <c r="ET17" s="827">
        <v>0.68</v>
      </c>
    </row>
    <row r="18" spans="1:150" ht="49.5" customHeight="1" thickBot="1" x14ac:dyDescent="0.3">
      <c r="A18" s="277" t="s">
        <v>53</v>
      </c>
      <c r="B18" s="278" t="s">
        <v>54</v>
      </c>
      <c r="C18" s="279" t="s">
        <v>55</v>
      </c>
      <c r="D18" s="280"/>
      <c r="E18" s="8" t="s">
        <v>57</v>
      </c>
      <c r="F18" s="281" t="str">
        <f t="shared" si="4"/>
        <v>E1.P_A</v>
      </c>
      <c r="G18" s="282" t="s">
        <v>58</v>
      </c>
      <c r="H18" s="282" t="s">
        <v>59</v>
      </c>
      <c r="I18" s="1014" t="s">
        <v>166</v>
      </c>
      <c r="J18" s="358" t="s">
        <v>167</v>
      </c>
      <c r="K18" s="359" t="str">
        <f t="shared" si="5"/>
        <v>E1.P_A.MR2</v>
      </c>
      <c r="L18" s="360" t="s">
        <v>81</v>
      </c>
      <c r="M18" s="361" t="s">
        <v>168</v>
      </c>
      <c r="N18" s="362">
        <v>3</v>
      </c>
      <c r="O18" s="363">
        <v>2</v>
      </c>
      <c r="P18" s="364" t="s">
        <v>64</v>
      </c>
      <c r="Q18" s="365" t="str">
        <f t="shared" si="6"/>
        <v>E1.P_A.MR2-MP01-1</v>
      </c>
      <c r="R18" s="366" t="s">
        <v>169</v>
      </c>
      <c r="S18" s="367" t="s">
        <v>170</v>
      </c>
      <c r="T18" s="368">
        <v>0</v>
      </c>
      <c r="U18" s="369">
        <v>4</v>
      </c>
      <c r="V18" s="368" t="s">
        <v>67</v>
      </c>
      <c r="W18" s="255">
        <v>1</v>
      </c>
      <c r="X18" s="370">
        <v>1</v>
      </c>
      <c r="Y18" s="255">
        <v>1</v>
      </c>
      <c r="Z18" s="371">
        <v>1</v>
      </c>
      <c r="AA18" s="298"/>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299"/>
      <c r="BB18" s="299"/>
      <c r="BC18" s="300"/>
      <c r="BD18" s="301" t="s">
        <v>68</v>
      </c>
      <c r="BI18" s="302"/>
      <c r="BJ18" s="303"/>
      <c r="BK18" s="16" t="s">
        <v>171</v>
      </c>
      <c r="BL18" s="372" t="s">
        <v>172</v>
      </c>
      <c r="BN18" s="14" t="s">
        <v>105</v>
      </c>
      <c r="BO18" s="355" t="s">
        <v>106</v>
      </c>
      <c r="BP18" s="15" t="s">
        <v>173</v>
      </c>
      <c r="BQ18" s="356"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7" t="s">
        <v>147</v>
      </c>
      <c r="EC18" s="308" t="s">
        <v>148</v>
      </c>
      <c r="ED18" s="309" t="s">
        <v>451</v>
      </c>
      <c r="EE18" s="310">
        <v>0</v>
      </c>
      <c r="EF18" s="335">
        <v>20</v>
      </c>
      <c r="EG18" s="270"/>
      <c r="EH18" s="270"/>
      <c r="EI18" s="270"/>
      <c r="EJ18" s="270"/>
      <c r="EL18" s="828" t="s">
        <v>175</v>
      </c>
      <c r="EM18" s="318" t="s">
        <v>169</v>
      </c>
      <c r="EN18" s="274" t="s">
        <v>170</v>
      </c>
      <c r="EO18" s="274">
        <v>0</v>
      </c>
      <c r="EP18" s="274">
        <v>4</v>
      </c>
      <c r="EQ18" s="275">
        <v>0</v>
      </c>
      <c r="ER18" s="275">
        <v>1</v>
      </c>
      <c r="ES18" s="275">
        <v>2</v>
      </c>
      <c r="ET18" s="826">
        <v>1</v>
      </c>
    </row>
    <row r="19" spans="1:150" ht="33" customHeight="1" thickBot="1" x14ac:dyDescent="0.25">
      <c r="A19" s="277" t="s">
        <v>53</v>
      </c>
      <c r="B19" s="278" t="s">
        <v>54</v>
      </c>
      <c r="C19" s="279" t="s">
        <v>55</v>
      </c>
      <c r="D19" s="280"/>
      <c r="E19" s="8" t="s">
        <v>57</v>
      </c>
      <c r="F19" s="281" t="str">
        <f t="shared" si="4"/>
        <v>E1.P_A</v>
      </c>
      <c r="G19" s="282" t="s">
        <v>58</v>
      </c>
      <c r="H19" s="282" t="s">
        <v>59</v>
      </c>
      <c r="I19" s="1015"/>
      <c r="J19" s="373" t="s">
        <v>167</v>
      </c>
      <c r="K19" s="284" t="str">
        <f t="shared" si="5"/>
        <v>E1.P_A.MR2</v>
      </c>
      <c r="L19" s="286" t="s">
        <v>81</v>
      </c>
      <c r="M19" s="287" t="s">
        <v>168</v>
      </c>
      <c r="N19" s="374">
        <v>3</v>
      </c>
      <c r="O19" s="375">
        <v>2</v>
      </c>
      <c r="P19" s="376" t="s">
        <v>87</v>
      </c>
      <c r="Q19" s="377" t="str">
        <f t="shared" si="6"/>
        <v>E1.P_A.MR2-MP02-1</v>
      </c>
      <c r="R19" s="313" t="s">
        <v>178</v>
      </c>
      <c r="S19" s="314" t="s">
        <v>179</v>
      </c>
      <c r="T19" s="293">
        <v>0</v>
      </c>
      <c r="U19" s="294">
        <v>1</v>
      </c>
      <c r="V19" s="293" t="s">
        <v>67</v>
      </c>
      <c r="W19" s="295">
        <v>0</v>
      </c>
      <c r="X19" s="330">
        <v>0.5</v>
      </c>
      <c r="Y19" s="321">
        <v>0.25</v>
      </c>
      <c r="Z19" s="323">
        <v>0.25</v>
      </c>
      <c r="AA19" s="298"/>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299"/>
      <c r="BB19" s="299"/>
      <c r="BC19" s="300"/>
      <c r="BD19" s="301" t="s">
        <v>68</v>
      </c>
      <c r="BI19" s="378" t="s">
        <v>76</v>
      </c>
      <c r="BJ19" s="379" t="s">
        <v>77</v>
      </c>
      <c r="BK19" s="4" t="s">
        <v>180</v>
      </c>
      <c r="BL19" s="267" t="s">
        <v>181</v>
      </c>
      <c r="BN19" s="14" t="s">
        <v>115</v>
      </c>
      <c r="BO19" s="355" t="s">
        <v>116</v>
      </c>
      <c r="BP19" s="15" t="s">
        <v>182</v>
      </c>
      <c r="BQ19" s="356"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7" t="s">
        <v>161</v>
      </c>
      <c r="EC19" s="308" t="s">
        <v>162</v>
      </c>
      <c r="ED19" s="309" t="s">
        <v>532</v>
      </c>
      <c r="EE19" s="357">
        <v>3630</v>
      </c>
      <c r="EF19" s="333">
        <v>3700</v>
      </c>
      <c r="EG19" s="270"/>
      <c r="EH19" s="270"/>
      <c r="EI19" s="270"/>
      <c r="EJ19" s="270"/>
      <c r="EL19" s="828" t="s">
        <v>184</v>
      </c>
      <c r="EM19" s="318" t="s">
        <v>178</v>
      </c>
      <c r="EN19" s="274" t="s">
        <v>179</v>
      </c>
      <c r="EO19" s="274">
        <v>0</v>
      </c>
      <c r="EP19" s="274">
        <v>1</v>
      </c>
      <c r="EQ19" s="329">
        <v>0.25</v>
      </c>
      <c r="ER19" s="276">
        <v>0.25</v>
      </c>
      <c r="ES19" s="329">
        <v>0.25</v>
      </c>
      <c r="ET19" s="825">
        <v>0.25</v>
      </c>
    </row>
    <row r="20" spans="1:150" ht="49.5" customHeight="1" x14ac:dyDescent="0.2">
      <c r="A20" s="277" t="s">
        <v>53</v>
      </c>
      <c r="B20" s="278" t="s">
        <v>54</v>
      </c>
      <c r="C20" s="279" t="s">
        <v>55</v>
      </c>
      <c r="D20" s="280"/>
      <c r="E20" s="8" t="s">
        <v>57</v>
      </c>
      <c r="F20" s="281" t="str">
        <f t="shared" si="4"/>
        <v>E1.P_A</v>
      </c>
      <c r="G20" s="282" t="s">
        <v>58</v>
      </c>
      <c r="H20" s="282" t="s">
        <v>59</v>
      </c>
      <c r="I20" s="1015"/>
      <c r="J20" s="373" t="s">
        <v>167</v>
      </c>
      <c r="K20" s="284" t="str">
        <f t="shared" si="5"/>
        <v>E1.P_A.MR2</v>
      </c>
      <c r="L20" s="286" t="s">
        <v>81</v>
      </c>
      <c r="M20" s="287" t="s">
        <v>168</v>
      </c>
      <c r="N20" s="374">
        <v>3</v>
      </c>
      <c r="O20" s="375">
        <v>2</v>
      </c>
      <c r="P20" s="376" t="s">
        <v>99</v>
      </c>
      <c r="Q20" s="377" t="str">
        <f t="shared" si="6"/>
        <v>E1.P_A.MR2-MP03-1</v>
      </c>
      <c r="R20" s="313" t="s">
        <v>189</v>
      </c>
      <c r="S20" s="314" t="s">
        <v>190</v>
      </c>
      <c r="T20" s="380">
        <v>8</v>
      </c>
      <c r="U20" s="381">
        <v>8</v>
      </c>
      <c r="V20" s="380" t="s">
        <v>102</v>
      </c>
      <c r="W20" s="295">
        <v>8</v>
      </c>
      <c r="X20" s="296">
        <v>8</v>
      </c>
      <c r="Y20" s="295">
        <v>8</v>
      </c>
      <c r="Z20" s="297">
        <v>8</v>
      </c>
      <c r="AA20" s="382"/>
      <c r="AB20" s="383"/>
      <c r="AC20" s="383"/>
      <c r="AD20" s="383"/>
      <c r="AE20" s="383"/>
      <c r="AF20" s="383"/>
      <c r="AG20" s="383"/>
      <c r="AH20" s="383"/>
      <c r="AI20" s="383"/>
      <c r="AJ20" s="383"/>
      <c r="AK20" s="383"/>
      <c r="AL20" s="383"/>
      <c r="AM20" s="383"/>
      <c r="AN20" s="383"/>
      <c r="AO20" s="383"/>
      <c r="AP20" s="383"/>
      <c r="AQ20" s="383"/>
      <c r="AR20" s="383"/>
      <c r="AS20" s="383"/>
      <c r="AT20" s="383"/>
      <c r="AU20" s="383"/>
      <c r="AV20" s="383"/>
      <c r="AW20" s="383"/>
      <c r="AX20" s="383"/>
      <c r="AY20" s="383"/>
      <c r="AZ20" s="383"/>
      <c r="BA20" s="383"/>
      <c r="BB20" s="383"/>
      <c r="BC20" s="384"/>
      <c r="BD20" s="301" t="s">
        <v>68</v>
      </c>
      <c r="BI20" s="302"/>
      <c r="BJ20" s="303"/>
      <c r="BK20" s="9" t="s">
        <v>191</v>
      </c>
      <c r="BL20" s="304" t="s">
        <v>192</v>
      </c>
      <c r="BN20" s="5" t="s">
        <v>125</v>
      </c>
      <c r="BO20" s="268" t="s">
        <v>126</v>
      </c>
      <c r="BP20" s="6" t="s">
        <v>193</v>
      </c>
      <c r="BQ20" s="269"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7" t="s">
        <v>173</v>
      </c>
      <c r="EC20" s="308" t="s">
        <v>174</v>
      </c>
      <c r="ED20" s="309" t="s">
        <v>532</v>
      </c>
      <c r="EE20" s="357">
        <v>1400</v>
      </c>
      <c r="EF20" s="333">
        <v>1800</v>
      </c>
      <c r="EG20" s="270"/>
      <c r="EH20" s="270"/>
      <c r="EI20" s="270"/>
      <c r="EJ20" s="270"/>
      <c r="EL20" s="828" t="s">
        <v>195</v>
      </c>
      <c r="EM20" s="318" t="s">
        <v>189</v>
      </c>
      <c r="EN20" s="274" t="s">
        <v>190</v>
      </c>
      <c r="EO20" s="385">
        <v>8</v>
      </c>
      <c r="EP20" s="385">
        <v>8</v>
      </c>
      <c r="EQ20" s="275">
        <v>8</v>
      </c>
      <c r="ER20" s="275">
        <v>8</v>
      </c>
      <c r="ES20" s="275">
        <v>8</v>
      </c>
      <c r="ET20" s="826">
        <v>8</v>
      </c>
    </row>
    <row r="21" spans="1:150" ht="37.5" customHeight="1" thickBot="1" x14ac:dyDescent="0.25">
      <c r="A21" s="277" t="s">
        <v>53</v>
      </c>
      <c r="B21" s="278" t="s">
        <v>54</v>
      </c>
      <c r="C21" s="279" t="s">
        <v>55</v>
      </c>
      <c r="D21" s="280"/>
      <c r="E21" s="8" t="s">
        <v>57</v>
      </c>
      <c r="F21" s="281" t="str">
        <f t="shared" si="4"/>
        <v>E1.P_A</v>
      </c>
      <c r="G21" s="282" t="s">
        <v>58</v>
      </c>
      <c r="H21" s="282" t="s">
        <v>59</v>
      </c>
      <c r="I21" s="1016"/>
      <c r="J21" s="373" t="s">
        <v>167</v>
      </c>
      <c r="K21" s="340" t="str">
        <f t="shared" si="5"/>
        <v>E1.P_A.MR2</v>
      </c>
      <c r="L21" s="386" t="s">
        <v>81</v>
      </c>
      <c r="M21" s="387" t="s">
        <v>168</v>
      </c>
      <c r="N21" s="388">
        <v>3</v>
      </c>
      <c r="O21" s="389">
        <v>2</v>
      </c>
      <c r="P21" s="390" t="s">
        <v>112</v>
      </c>
      <c r="Q21" s="391" t="str">
        <f t="shared" si="6"/>
        <v>E1.P_A.MR2-MP04-1</v>
      </c>
      <c r="R21" s="348" t="s">
        <v>200</v>
      </c>
      <c r="S21" s="349" t="s">
        <v>201</v>
      </c>
      <c r="T21" s="392">
        <v>0</v>
      </c>
      <c r="U21" s="393">
        <v>3</v>
      </c>
      <c r="V21" s="392" t="s">
        <v>67</v>
      </c>
      <c r="W21" s="394">
        <v>0.75</v>
      </c>
      <c r="X21" s="395">
        <v>0.75</v>
      </c>
      <c r="Y21" s="394">
        <v>0.75</v>
      </c>
      <c r="Z21" s="396">
        <v>0.75</v>
      </c>
      <c r="AA21" s="382"/>
      <c r="AB21" s="383"/>
      <c r="AC21" s="383"/>
      <c r="AD21" s="383"/>
      <c r="AE21" s="383"/>
      <c r="AF21" s="383"/>
      <c r="AG21" s="383"/>
      <c r="AH21" s="383"/>
      <c r="AI21" s="383"/>
      <c r="AJ21" s="383"/>
      <c r="AK21" s="383"/>
      <c r="AL21" s="383"/>
      <c r="AM21" s="383"/>
      <c r="AN21" s="383"/>
      <c r="AO21" s="383"/>
      <c r="AP21" s="383"/>
      <c r="AQ21" s="383"/>
      <c r="AR21" s="383"/>
      <c r="AS21" s="383"/>
      <c r="AT21" s="383"/>
      <c r="AU21" s="383"/>
      <c r="AV21" s="383"/>
      <c r="AW21" s="383"/>
      <c r="AX21" s="383"/>
      <c r="AY21" s="383"/>
      <c r="AZ21" s="383"/>
      <c r="BA21" s="383"/>
      <c r="BB21" s="383"/>
      <c r="BC21" s="384"/>
      <c r="BD21" s="301" t="s">
        <v>68</v>
      </c>
      <c r="BI21" s="302"/>
      <c r="BJ21" s="303"/>
      <c r="BK21" s="9" t="s">
        <v>202</v>
      </c>
      <c r="BL21" s="304" t="s">
        <v>203</v>
      </c>
      <c r="BN21" s="12" t="s">
        <v>125</v>
      </c>
      <c r="BO21" s="331" t="s">
        <v>126</v>
      </c>
      <c r="BP21" s="13" t="s">
        <v>204</v>
      </c>
      <c r="BQ21" s="332"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7" t="s">
        <v>182</v>
      </c>
      <c r="EC21" s="308" t="s">
        <v>183</v>
      </c>
      <c r="ED21" s="309" t="s">
        <v>532</v>
      </c>
      <c r="EE21" s="357">
        <v>288</v>
      </c>
      <c r="EF21" s="333">
        <v>400</v>
      </c>
      <c r="EG21" s="270"/>
      <c r="EH21" s="270"/>
      <c r="EI21" s="270"/>
      <c r="EJ21" s="270"/>
      <c r="EL21" s="828" t="s">
        <v>206</v>
      </c>
      <c r="EM21" s="318" t="s">
        <v>200</v>
      </c>
      <c r="EN21" s="274" t="s">
        <v>201</v>
      </c>
      <c r="EO21" s="385">
        <v>0</v>
      </c>
      <c r="EP21" s="385">
        <v>3</v>
      </c>
      <c r="EQ21" s="329">
        <v>0.75</v>
      </c>
      <c r="ER21" s="329">
        <v>0.75</v>
      </c>
      <c r="ES21" s="329">
        <v>0.75</v>
      </c>
      <c r="ET21" s="825">
        <v>0.75</v>
      </c>
    </row>
    <row r="22" spans="1:150" ht="133.5" customHeight="1" x14ac:dyDescent="0.2">
      <c r="A22" s="277" t="s">
        <v>53</v>
      </c>
      <c r="B22" s="278" t="s">
        <v>54</v>
      </c>
      <c r="C22" s="279" t="s">
        <v>55</v>
      </c>
      <c r="D22" s="280"/>
      <c r="E22" s="8" t="s">
        <v>57</v>
      </c>
      <c r="F22" s="281" t="str">
        <f t="shared" si="4"/>
        <v>E1.P_A</v>
      </c>
      <c r="G22" s="282" t="s">
        <v>58</v>
      </c>
      <c r="H22" s="282" t="s">
        <v>59</v>
      </c>
      <c r="I22" s="1014" t="s">
        <v>211</v>
      </c>
      <c r="J22" s="397" t="s">
        <v>212</v>
      </c>
      <c r="K22" s="398" t="str">
        <f t="shared" si="5"/>
        <v>E1.P_A.MR3</v>
      </c>
      <c r="L22" s="360" t="s">
        <v>95</v>
      </c>
      <c r="M22" s="361" t="s">
        <v>213</v>
      </c>
      <c r="N22" s="247" t="s">
        <v>214</v>
      </c>
      <c r="O22" s="247" t="s">
        <v>214</v>
      </c>
      <c r="P22" s="399" t="s">
        <v>64</v>
      </c>
      <c r="Q22" s="365" t="str">
        <f t="shared" si="6"/>
        <v>E1.P_A.MR3-MP01-1</v>
      </c>
      <c r="R22" s="366" t="s">
        <v>215</v>
      </c>
      <c r="S22" s="367" t="s">
        <v>216</v>
      </c>
      <c r="T22" s="368">
        <v>1</v>
      </c>
      <c r="U22" s="369">
        <v>2</v>
      </c>
      <c r="V22" s="368" t="s">
        <v>67</v>
      </c>
      <c r="W22" s="257">
        <v>0.5</v>
      </c>
      <c r="X22" s="256">
        <v>0.5</v>
      </c>
      <c r="Y22" s="257">
        <v>0.5</v>
      </c>
      <c r="Z22" s="258">
        <v>0.5</v>
      </c>
      <c r="AA22" s="298"/>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c r="BA22" s="299"/>
      <c r="BB22" s="299"/>
      <c r="BC22" s="300"/>
      <c r="BD22" s="301" t="s">
        <v>68</v>
      </c>
      <c r="BI22" s="302"/>
      <c r="BJ22" s="303"/>
      <c r="BK22" s="9" t="s">
        <v>217</v>
      </c>
      <c r="BL22" s="304" t="s">
        <v>218</v>
      </c>
      <c r="BN22" s="5" t="s">
        <v>135</v>
      </c>
      <c r="BO22" s="268" t="s">
        <v>136</v>
      </c>
      <c r="BP22" s="6" t="s">
        <v>219</v>
      </c>
      <c r="BQ22" s="269"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7" t="s">
        <v>193</v>
      </c>
      <c r="EC22" s="308" t="s">
        <v>194</v>
      </c>
      <c r="ED22" s="309" t="s">
        <v>720</v>
      </c>
      <c r="EE22" s="357">
        <v>1</v>
      </c>
      <c r="EF22" s="333">
        <v>4</v>
      </c>
      <c r="EG22" s="270"/>
      <c r="EH22" s="270"/>
      <c r="EI22" s="270"/>
      <c r="EJ22" s="270"/>
      <c r="EL22" s="828" t="s">
        <v>221</v>
      </c>
      <c r="EM22" s="318" t="s">
        <v>215</v>
      </c>
      <c r="EN22" s="274" t="s">
        <v>216</v>
      </c>
      <c r="EO22" s="274">
        <v>1</v>
      </c>
      <c r="EP22" s="274">
        <v>2</v>
      </c>
      <c r="EQ22" s="276">
        <v>0.5</v>
      </c>
      <c r="ER22" s="276">
        <v>0.5</v>
      </c>
      <c r="ES22" s="276">
        <v>0.5</v>
      </c>
      <c r="ET22" s="829">
        <v>0.5</v>
      </c>
    </row>
    <row r="23" spans="1:150" ht="39" customHeight="1" thickBot="1" x14ac:dyDescent="0.25">
      <c r="A23" s="277" t="s">
        <v>53</v>
      </c>
      <c r="B23" s="278" t="s">
        <v>54</v>
      </c>
      <c r="C23" s="279" t="s">
        <v>55</v>
      </c>
      <c r="D23" s="280"/>
      <c r="E23" s="8" t="s">
        <v>57</v>
      </c>
      <c r="F23" s="281" t="str">
        <f t="shared" si="4"/>
        <v>E1.P_A</v>
      </c>
      <c r="G23" s="282" t="s">
        <v>58</v>
      </c>
      <c r="H23" s="282" t="s">
        <v>59</v>
      </c>
      <c r="I23" s="1015"/>
      <c r="J23" s="285" t="s">
        <v>212</v>
      </c>
      <c r="K23" s="285" t="str">
        <f t="shared" si="5"/>
        <v>E1.P_A.MR3</v>
      </c>
      <c r="L23" s="286" t="s">
        <v>95</v>
      </c>
      <c r="M23" s="287" t="s">
        <v>213</v>
      </c>
      <c r="N23" s="287" t="s">
        <v>226</v>
      </c>
      <c r="O23" s="287" t="s">
        <v>226</v>
      </c>
      <c r="P23" s="399" t="s">
        <v>87</v>
      </c>
      <c r="Q23" s="377" t="str">
        <f t="shared" si="6"/>
        <v>E1.P_A.MR3-MP02-1</v>
      </c>
      <c r="R23" s="313" t="s">
        <v>227</v>
      </c>
      <c r="S23" s="314" t="s">
        <v>228</v>
      </c>
      <c r="T23" s="293">
        <v>0</v>
      </c>
      <c r="U23" s="294">
        <v>3</v>
      </c>
      <c r="V23" s="293" t="s">
        <v>67</v>
      </c>
      <c r="W23" s="295">
        <v>0</v>
      </c>
      <c r="X23" s="296">
        <v>1</v>
      </c>
      <c r="Y23" s="295">
        <v>1</v>
      </c>
      <c r="Z23" s="297">
        <v>1</v>
      </c>
      <c r="AA23" s="298"/>
      <c r="AB23" s="299"/>
      <c r="AC23" s="299"/>
      <c r="AD23" s="299"/>
      <c r="AE23" s="299"/>
      <c r="AF23" s="299"/>
      <c r="AG23" s="299"/>
      <c r="AH23" s="299"/>
      <c r="AI23" s="299"/>
      <c r="AJ23" s="299"/>
      <c r="AK23" s="299"/>
      <c r="AL23" s="299"/>
      <c r="AM23" s="299"/>
      <c r="AN23" s="299"/>
      <c r="AO23" s="299"/>
      <c r="AP23" s="299"/>
      <c r="AQ23" s="299"/>
      <c r="AR23" s="299"/>
      <c r="AS23" s="299"/>
      <c r="AT23" s="299"/>
      <c r="AU23" s="299"/>
      <c r="AV23" s="299"/>
      <c r="AW23" s="299"/>
      <c r="AX23" s="299"/>
      <c r="AY23" s="299"/>
      <c r="AZ23" s="299"/>
      <c r="BA23" s="299"/>
      <c r="BB23" s="299"/>
      <c r="BC23" s="300"/>
      <c r="BD23" s="301" t="s">
        <v>68</v>
      </c>
      <c r="BI23" s="302"/>
      <c r="BJ23" s="303"/>
      <c r="BK23" s="9" t="s">
        <v>229</v>
      </c>
      <c r="BL23" s="304" t="s">
        <v>230</v>
      </c>
      <c r="BN23" s="12" t="s">
        <v>135</v>
      </c>
      <c r="BO23" s="331" t="s">
        <v>136</v>
      </c>
      <c r="BP23" s="13" t="s">
        <v>231</v>
      </c>
      <c r="BQ23" s="332"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7" t="s">
        <v>204</v>
      </c>
      <c r="EC23" s="308" t="s">
        <v>205</v>
      </c>
      <c r="ED23" s="309" t="s">
        <v>532</v>
      </c>
      <c r="EE23" s="357">
        <v>2598</v>
      </c>
      <c r="EF23" s="333">
        <v>3100</v>
      </c>
      <c r="EG23" s="270"/>
      <c r="EH23" s="270"/>
      <c r="EI23" s="270"/>
      <c r="EJ23" s="270"/>
      <c r="EL23" s="828" t="s">
        <v>233</v>
      </c>
      <c r="EM23" s="318" t="s">
        <v>227</v>
      </c>
      <c r="EN23" s="274" t="s">
        <v>228</v>
      </c>
      <c r="EO23" s="274">
        <v>0</v>
      </c>
      <c r="EP23" s="274">
        <v>3</v>
      </c>
      <c r="EQ23" s="275">
        <v>0</v>
      </c>
      <c r="ER23" s="814">
        <v>0</v>
      </c>
      <c r="ES23" s="275">
        <v>1</v>
      </c>
      <c r="ET23" s="830">
        <v>2</v>
      </c>
    </row>
    <row r="24" spans="1:150" ht="48.75" customHeight="1" thickBot="1" x14ac:dyDescent="0.25">
      <c r="A24" s="277" t="s">
        <v>53</v>
      </c>
      <c r="B24" s="278" t="s">
        <v>54</v>
      </c>
      <c r="C24" s="279" t="s">
        <v>55</v>
      </c>
      <c r="D24" s="280"/>
      <c r="E24" s="8" t="s">
        <v>57</v>
      </c>
      <c r="F24" s="281" t="str">
        <f t="shared" si="4"/>
        <v>E1.P_A</v>
      </c>
      <c r="G24" s="282" t="s">
        <v>58</v>
      </c>
      <c r="H24" s="282" t="s">
        <v>59</v>
      </c>
      <c r="I24" s="1015"/>
      <c r="J24" s="285" t="s">
        <v>212</v>
      </c>
      <c r="K24" s="285" t="str">
        <f t="shared" si="5"/>
        <v>E1.P_A.MR3</v>
      </c>
      <c r="L24" s="286" t="s">
        <v>95</v>
      </c>
      <c r="M24" s="287" t="s">
        <v>213</v>
      </c>
      <c r="N24" s="287" t="s">
        <v>226</v>
      </c>
      <c r="O24" s="287" t="s">
        <v>226</v>
      </c>
      <c r="P24" s="399" t="s">
        <v>99</v>
      </c>
      <c r="Q24" s="377" t="str">
        <f t="shared" si="6"/>
        <v>E1.P_A.MR3-MP03-1</v>
      </c>
      <c r="R24" s="313" t="s">
        <v>236</v>
      </c>
      <c r="S24" s="314" t="s">
        <v>237</v>
      </c>
      <c r="T24" s="319">
        <v>1</v>
      </c>
      <c r="U24" s="320">
        <v>1</v>
      </c>
      <c r="V24" s="319" t="s">
        <v>102</v>
      </c>
      <c r="W24" s="295">
        <v>1</v>
      </c>
      <c r="X24" s="296">
        <v>1</v>
      </c>
      <c r="Y24" s="295">
        <v>1</v>
      </c>
      <c r="Z24" s="297">
        <v>1</v>
      </c>
      <c r="AA24" s="324"/>
      <c r="AB24" s="325"/>
      <c r="AC24" s="325"/>
      <c r="AD24" s="325"/>
      <c r="AE24" s="325"/>
      <c r="AF24" s="325"/>
      <c r="AG24" s="325"/>
      <c r="AH24" s="325"/>
      <c r="AI24" s="325"/>
      <c r="AJ24" s="325"/>
      <c r="AK24" s="325"/>
      <c r="AL24" s="325"/>
      <c r="AM24" s="325"/>
      <c r="AN24" s="325"/>
      <c r="AO24" s="325"/>
      <c r="AP24" s="325"/>
      <c r="AQ24" s="325"/>
      <c r="AR24" s="325"/>
      <c r="AS24" s="325"/>
      <c r="AT24" s="325"/>
      <c r="AU24" s="325"/>
      <c r="AV24" s="325"/>
      <c r="AW24" s="325"/>
      <c r="AX24" s="325"/>
      <c r="AY24" s="325"/>
      <c r="AZ24" s="325"/>
      <c r="BA24" s="325"/>
      <c r="BB24" s="325"/>
      <c r="BC24" s="326"/>
      <c r="BD24" s="301" t="s">
        <v>68</v>
      </c>
      <c r="BI24" s="302"/>
      <c r="BJ24" s="303"/>
      <c r="BK24" s="16" t="s">
        <v>238</v>
      </c>
      <c r="BL24" s="372" t="s">
        <v>239</v>
      </c>
      <c r="BN24" s="14" t="s">
        <v>145</v>
      </c>
      <c r="BO24" s="355" t="s">
        <v>146</v>
      </c>
      <c r="BP24" s="15" t="s">
        <v>240</v>
      </c>
      <c r="BQ24" s="356"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7" t="s">
        <v>219</v>
      </c>
      <c r="EC24" s="308" t="s">
        <v>220</v>
      </c>
      <c r="ED24" s="309" t="s">
        <v>754</v>
      </c>
      <c r="EE24" s="357">
        <v>1</v>
      </c>
      <c r="EF24" s="333">
        <v>3</v>
      </c>
      <c r="EG24" s="270"/>
      <c r="EH24" s="270"/>
      <c r="EI24" s="270"/>
      <c r="EJ24" s="270"/>
      <c r="EL24" s="828" t="s">
        <v>242</v>
      </c>
      <c r="EM24" s="318" t="s">
        <v>236</v>
      </c>
      <c r="EN24" s="274" t="s">
        <v>237</v>
      </c>
      <c r="EO24" s="275">
        <v>100</v>
      </c>
      <c r="EP24" s="275">
        <v>100</v>
      </c>
      <c r="EQ24" s="275">
        <v>100</v>
      </c>
      <c r="ER24" s="275">
        <v>100</v>
      </c>
      <c r="ES24" s="275">
        <v>100</v>
      </c>
      <c r="ET24" s="826">
        <v>100</v>
      </c>
    </row>
    <row r="25" spans="1:150" ht="54" customHeight="1" thickBot="1" x14ac:dyDescent="0.25">
      <c r="A25" s="277" t="s">
        <v>53</v>
      </c>
      <c r="B25" s="278" t="s">
        <v>54</v>
      </c>
      <c r="C25" s="279" t="s">
        <v>55</v>
      </c>
      <c r="D25" s="280"/>
      <c r="E25" s="8" t="s">
        <v>57</v>
      </c>
      <c r="F25" s="281" t="str">
        <f t="shared" si="4"/>
        <v>E1.P_A</v>
      </c>
      <c r="G25" s="282" t="s">
        <v>58</v>
      </c>
      <c r="H25" s="282" t="s">
        <v>59</v>
      </c>
      <c r="I25" s="1015"/>
      <c r="J25" s="285" t="s">
        <v>212</v>
      </c>
      <c r="K25" s="285" t="str">
        <f t="shared" si="5"/>
        <v>E1.P_A.MR3</v>
      </c>
      <c r="L25" s="286" t="s">
        <v>95</v>
      </c>
      <c r="M25" s="287" t="s">
        <v>213</v>
      </c>
      <c r="N25" s="287" t="s">
        <v>226</v>
      </c>
      <c r="O25" s="287" t="s">
        <v>226</v>
      </c>
      <c r="P25" s="399" t="s">
        <v>112</v>
      </c>
      <c r="Q25" s="377" t="str">
        <f t="shared" si="6"/>
        <v>E1.P_A.MR3-MP04-1</v>
      </c>
      <c r="R25" s="313" t="s">
        <v>247</v>
      </c>
      <c r="S25" s="314" t="s">
        <v>248</v>
      </c>
      <c r="T25" s="293">
        <v>3</v>
      </c>
      <c r="U25" s="294">
        <v>3</v>
      </c>
      <c r="V25" s="293" t="s">
        <v>102</v>
      </c>
      <c r="W25" s="295">
        <v>3</v>
      </c>
      <c r="X25" s="296">
        <v>3</v>
      </c>
      <c r="Y25" s="295">
        <v>3</v>
      </c>
      <c r="Z25" s="297">
        <v>3</v>
      </c>
      <c r="AA25" s="298"/>
      <c r="AB25" s="299"/>
      <c r="AC25" s="299"/>
      <c r="AD25" s="299"/>
      <c r="AE25" s="299"/>
      <c r="AF25" s="299"/>
      <c r="AG25" s="299"/>
      <c r="AH25" s="299"/>
      <c r="AI25" s="299"/>
      <c r="AJ25" s="299"/>
      <c r="AK25" s="299"/>
      <c r="AL25" s="299"/>
      <c r="AM25" s="299"/>
      <c r="AN25" s="299"/>
      <c r="AO25" s="299"/>
      <c r="AP25" s="299"/>
      <c r="AQ25" s="299"/>
      <c r="AR25" s="299"/>
      <c r="AS25" s="299"/>
      <c r="AT25" s="299"/>
      <c r="AU25" s="299"/>
      <c r="AV25" s="299"/>
      <c r="AW25" s="299"/>
      <c r="AX25" s="299"/>
      <c r="AY25" s="299"/>
      <c r="AZ25" s="299"/>
      <c r="BA25" s="299"/>
      <c r="BB25" s="299"/>
      <c r="BC25" s="300"/>
      <c r="BD25" s="301" t="s">
        <v>68</v>
      </c>
      <c r="BI25" s="378" t="s">
        <v>90</v>
      </c>
      <c r="BJ25" s="379" t="s">
        <v>91</v>
      </c>
      <c r="BK25" s="4" t="s">
        <v>249</v>
      </c>
      <c r="BL25" s="267" t="s">
        <v>250</v>
      </c>
      <c r="BN25" s="14" t="s">
        <v>159</v>
      </c>
      <c r="BO25" s="355" t="s">
        <v>160</v>
      </c>
      <c r="BP25" s="15" t="s">
        <v>251</v>
      </c>
      <c r="BQ25" s="356"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7" t="s">
        <v>231</v>
      </c>
      <c r="EC25" s="308" t="s">
        <v>232</v>
      </c>
      <c r="ED25" s="309" t="s">
        <v>754</v>
      </c>
      <c r="EE25" s="357">
        <v>1</v>
      </c>
      <c r="EF25" s="333">
        <v>1</v>
      </c>
      <c r="EG25" s="270"/>
      <c r="EH25" s="270"/>
      <c r="EI25" s="270"/>
      <c r="EJ25" s="270"/>
      <c r="EL25" s="828" t="s">
        <v>253</v>
      </c>
      <c r="EM25" s="318" t="s">
        <v>247</v>
      </c>
      <c r="EN25" s="274" t="s">
        <v>248</v>
      </c>
      <c r="EO25" s="274">
        <v>3</v>
      </c>
      <c r="EP25" s="274">
        <v>3</v>
      </c>
      <c r="EQ25" s="275">
        <v>3</v>
      </c>
      <c r="ER25" s="275">
        <v>3</v>
      </c>
      <c r="ES25" s="275">
        <v>3</v>
      </c>
      <c r="ET25" s="826">
        <v>3</v>
      </c>
    </row>
    <row r="26" spans="1:150" ht="37.5" customHeight="1" thickBot="1" x14ac:dyDescent="0.25">
      <c r="A26" s="277" t="s">
        <v>53</v>
      </c>
      <c r="B26" s="278" t="s">
        <v>54</v>
      </c>
      <c r="C26" s="279" t="s">
        <v>55</v>
      </c>
      <c r="D26" s="280"/>
      <c r="E26" s="8" t="s">
        <v>57</v>
      </c>
      <c r="F26" s="281" t="str">
        <f t="shared" si="4"/>
        <v>E1.P_A</v>
      </c>
      <c r="G26" s="282" t="s">
        <v>58</v>
      </c>
      <c r="H26" s="282" t="s">
        <v>59</v>
      </c>
      <c r="I26" s="1016"/>
      <c r="J26" s="400" t="s">
        <v>212</v>
      </c>
      <c r="K26" s="400" t="str">
        <f t="shared" si="5"/>
        <v>E1.P_A.MR3</v>
      </c>
      <c r="L26" s="386" t="s">
        <v>95</v>
      </c>
      <c r="M26" s="287" t="s">
        <v>213</v>
      </c>
      <c r="N26" s="387" t="s">
        <v>226</v>
      </c>
      <c r="O26" s="387" t="s">
        <v>226</v>
      </c>
      <c r="P26" s="399" t="s">
        <v>122</v>
      </c>
      <c r="Q26" s="401" t="str">
        <f t="shared" si="6"/>
        <v>E1.P_A.MR3-MP05-1</v>
      </c>
      <c r="R26" s="336" t="s">
        <v>256</v>
      </c>
      <c r="S26" s="337" t="s">
        <v>257</v>
      </c>
      <c r="T26" s="338">
        <v>0</v>
      </c>
      <c r="U26" s="339">
        <v>1</v>
      </c>
      <c r="V26" s="350" t="s">
        <v>67</v>
      </c>
      <c r="W26" s="352">
        <v>0</v>
      </c>
      <c r="X26" s="353">
        <v>0</v>
      </c>
      <c r="Y26" s="402">
        <v>0.5</v>
      </c>
      <c r="Z26" s="403">
        <v>0.5</v>
      </c>
      <c r="AA26" s="298"/>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300"/>
      <c r="BD26" s="301" t="s">
        <v>68</v>
      </c>
      <c r="BI26" s="302"/>
      <c r="BJ26" s="303"/>
      <c r="BK26" s="9" t="s">
        <v>258</v>
      </c>
      <c r="BL26" s="304" t="s">
        <v>259</v>
      </c>
      <c r="BN26" s="14" t="s">
        <v>171</v>
      </c>
      <c r="BO26" s="355" t="s">
        <v>172</v>
      </c>
      <c r="BP26" s="15" t="s">
        <v>260</v>
      </c>
      <c r="BQ26" s="356"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7" t="s">
        <v>240</v>
      </c>
      <c r="EC26" s="308" t="s">
        <v>241</v>
      </c>
      <c r="ED26" s="309" t="s">
        <v>774</v>
      </c>
      <c r="EE26" s="357">
        <v>952</v>
      </c>
      <c r="EF26" s="333">
        <v>952</v>
      </c>
      <c r="EG26" s="270"/>
      <c r="EH26" s="270"/>
      <c r="EI26" s="270"/>
      <c r="EJ26" s="270"/>
      <c r="EL26" s="828" t="s">
        <v>262</v>
      </c>
      <c r="EM26" s="318" t="s">
        <v>256</v>
      </c>
      <c r="EN26" s="274" t="s">
        <v>257</v>
      </c>
      <c r="EO26" s="274">
        <v>0</v>
      </c>
      <c r="EP26" s="274">
        <v>1</v>
      </c>
      <c r="EQ26" s="275">
        <v>0</v>
      </c>
      <c r="ER26" s="275">
        <v>0</v>
      </c>
      <c r="ES26" s="276">
        <v>0.5</v>
      </c>
      <c r="ET26" s="829">
        <v>0.5</v>
      </c>
    </row>
    <row r="27" spans="1:150" ht="81" customHeight="1" thickBot="1" x14ac:dyDescent="0.25">
      <c r="A27" s="277" t="s">
        <v>53</v>
      </c>
      <c r="B27" s="278" t="s">
        <v>54</v>
      </c>
      <c r="C27" s="279" t="s">
        <v>55</v>
      </c>
      <c r="D27" s="280"/>
      <c r="E27" s="8" t="s">
        <v>57</v>
      </c>
      <c r="F27" s="281" t="str">
        <f t="shared" si="4"/>
        <v>E1.P_A</v>
      </c>
      <c r="G27" s="282" t="s">
        <v>58</v>
      </c>
      <c r="H27" s="282" t="s">
        <v>59</v>
      </c>
      <c r="I27" s="811" t="s">
        <v>267</v>
      </c>
      <c r="J27" s="397" t="s">
        <v>268</v>
      </c>
      <c r="K27" s="398" t="str">
        <f t="shared" si="5"/>
        <v>E1.P_A.MR4</v>
      </c>
      <c r="L27" s="360" t="s">
        <v>108</v>
      </c>
      <c r="M27" s="361" t="s">
        <v>269</v>
      </c>
      <c r="N27" s="404">
        <v>0</v>
      </c>
      <c r="O27" s="405">
        <v>0.04</v>
      </c>
      <c r="P27" s="406" t="s">
        <v>64</v>
      </c>
      <c r="Q27" s="249" t="str">
        <f t="shared" si="6"/>
        <v>E1.P_A.MR4-MP01-1</v>
      </c>
      <c r="R27" s="366" t="s">
        <v>270</v>
      </c>
      <c r="S27" s="367" t="s">
        <v>271</v>
      </c>
      <c r="T27" s="368">
        <v>2</v>
      </c>
      <c r="U27" s="369">
        <v>2</v>
      </c>
      <c r="V27" s="368" t="s">
        <v>102</v>
      </c>
      <c r="W27" s="257">
        <v>0.5</v>
      </c>
      <c r="X27" s="256">
        <v>0.05</v>
      </c>
      <c r="Y27" s="257">
        <v>0.5</v>
      </c>
      <c r="Z27" s="258">
        <v>0.5</v>
      </c>
      <c r="AA27" s="298"/>
      <c r="AB27" s="299"/>
      <c r="AC27" s="299"/>
      <c r="AD27" s="299"/>
      <c r="AE27" s="299"/>
      <c r="AF27" s="299"/>
      <c r="AG27" s="299"/>
      <c r="AH27" s="299"/>
      <c r="AI27" s="299"/>
      <c r="AJ27" s="299"/>
      <c r="AK27" s="299"/>
      <c r="AL27" s="299"/>
      <c r="AM27" s="299"/>
      <c r="AN27" s="299"/>
      <c r="AO27" s="299"/>
      <c r="AP27" s="299"/>
      <c r="AQ27" s="299"/>
      <c r="AR27" s="299"/>
      <c r="AS27" s="299"/>
      <c r="AT27" s="299"/>
      <c r="AU27" s="299"/>
      <c r="AV27" s="299"/>
      <c r="AW27" s="299"/>
      <c r="AX27" s="299"/>
      <c r="AY27" s="299"/>
      <c r="AZ27" s="299"/>
      <c r="BA27" s="299"/>
      <c r="BB27" s="299"/>
      <c r="BC27" s="300"/>
      <c r="BD27" s="301" t="s">
        <v>68</v>
      </c>
      <c r="BI27" s="302"/>
      <c r="BJ27" s="303"/>
      <c r="BK27" s="9" t="s">
        <v>272</v>
      </c>
      <c r="BL27" s="304" t="s">
        <v>273</v>
      </c>
      <c r="BN27" s="14" t="s">
        <v>180</v>
      </c>
      <c r="BO27" s="355" t="s">
        <v>181</v>
      </c>
      <c r="BP27" s="15" t="s">
        <v>274</v>
      </c>
      <c r="BQ27" s="356"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7" t="s">
        <v>251</v>
      </c>
      <c r="EC27" s="308" t="s">
        <v>252</v>
      </c>
      <c r="ED27" s="309" t="s">
        <v>804</v>
      </c>
      <c r="EE27" s="357">
        <v>164</v>
      </c>
      <c r="EF27" s="333">
        <v>131</v>
      </c>
      <c r="EG27" s="270"/>
      <c r="EH27" s="270"/>
      <c r="EI27" s="270"/>
      <c r="EJ27" s="270"/>
      <c r="EL27" s="822" t="s">
        <v>276</v>
      </c>
      <c r="EM27" s="318" t="s">
        <v>270</v>
      </c>
      <c r="EN27" s="274" t="s">
        <v>271</v>
      </c>
      <c r="EO27" s="274">
        <v>2</v>
      </c>
      <c r="EP27" s="274">
        <v>2</v>
      </c>
      <c r="EQ27" s="805">
        <v>0.5</v>
      </c>
      <c r="ER27" s="805">
        <v>0.5</v>
      </c>
      <c r="ES27" s="805">
        <v>0.5</v>
      </c>
      <c r="ET27" s="831">
        <v>0.5</v>
      </c>
    </row>
    <row r="28" spans="1:150" ht="66" customHeight="1" thickBot="1" x14ac:dyDescent="0.25">
      <c r="A28" s="277" t="s">
        <v>53</v>
      </c>
      <c r="B28" s="278" t="s">
        <v>54</v>
      </c>
      <c r="C28" s="279" t="s">
        <v>55</v>
      </c>
      <c r="D28" s="280"/>
      <c r="E28" s="8" t="s">
        <v>57</v>
      </c>
      <c r="F28" s="281" t="str">
        <f t="shared" si="4"/>
        <v>E1.P_A</v>
      </c>
      <c r="G28" s="282" t="s">
        <v>58</v>
      </c>
      <c r="H28" s="282" t="s">
        <v>59</v>
      </c>
      <c r="I28" s="407"/>
      <c r="J28" s="285" t="s">
        <v>268</v>
      </c>
      <c r="K28" s="285" t="str">
        <f t="shared" si="5"/>
        <v>E1.P_A.MR4</v>
      </c>
      <c r="L28" s="408" t="s">
        <v>108</v>
      </c>
      <c r="M28" s="409" t="s">
        <v>269</v>
      </c>
      <c r="N28" s="410">
        <v>0</v>
      </c>
      <c r="O28" s="411">
        <v>0.04</v>
      </c>
      <c r="P28" s="406" t="s">
        <v>87</v>
      </c>
      <c r="Q28" s="290" t="str">
        <f t="shared" si="6"/>
        <v>E1.P_A.MR4-MP02-1</v>
      </c>
      <c r="R28" s="313" t="s">
        <v>281</v>
      </c>
      <c r="S28" s="314" t="s">
        <v>282</v>
      </c>
      <c r="T28" s="293">
        <v>1</v>
      </c>
      <c r="U28" s="294">
        <v>3</v>
      </c>
      <c r="V28" s="293" t="s">
        <v>67</v>
      </c>
      <c r="W28" s="321">
        <v>0.75</v>
      </c>
      <c r="X28" s="322">
        <v>0.75</v>
      </c>
      <c r="Y28" s="321">
        <v>0.75</v>
      </c>
      <c r="Z28" s="323">
        <v>0.75</v>
      </c>
      <c r="AA28" s="298"/>
      <c r="AB28" s="299"/>
      <c r="AC28" s="299"/>
      <c r="AD28" s="299"/>
      <c r="AE28" s="299"/>
      <c r="AF28" s="299"/>
      <c r="AG28" s="299"/>
      <c r="AH28" s="299"/>
      <c r="AI28" s="299"/>
      <c r="AJ28" s="299"/>
      <c r="AK28" s="299"/>
      <c r="AL28" s="299"/>
      <c r="AM28" s="299"/>
      <c r="AN28" s="299"/>
      <c r="AO28" s="299"/>
      <c r="AP28" s="299"/>
      <c r="AQ28" s="299"/>
      <c r="AR28" s="299"/>
      <c r="AS28" s="299"/>
      <c r="AT28" s="299"/>
      <c r="AU28" s="299"/>
      <c r="AV28" s="299"/>
      <c r="AW28" s="299"/>
      <c r="AX28" s="299"/>
      <c r="AY28" s="299"/>
      <c r="AZ28" s="299"/>
      <c r="BA28" s="299"/>
      <c r="BB28" s="299"/>
      <c r="BC28" s="300"/>
      <c r="BD28" s="301" t="s">
        <v>68</v>
      </c>
      <c r="BI28" s="302"/>
      <c r="BJ28" s="303"/>
      <c r="BK28" s="9" t="s">
        <v>283</v>
      </c>
      <c r="BL28" s="304" t="s">
        <v>284</v>
      </c>
      <c r="BN28" s="14" t="s">
        <v>191</v>
      </c>
      <c r="BO28" s="355" t="s">
        <v>192</v>
      </c>
      <c r="BP28" s="15" t="s">
        <v>285</v>
      </c>
      <c r="BQ28" s="356"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7" t="s">
        <v>260</v>
      </c>
      <c r="EC28" s="308" t="s">
        <v>261</v>
      </c>
      <c r="ED28" s="309" t="s">
        <v>532</v>
      </c>
      <c r="EE28" s="357">
        <v>260</v>
      </c>
      <c r="EF28" s="333">
        <v>318</v>
      </c>
      <c r="EG28" s="270"/>
      <c r="EH28" s="270"/>
      <c r="EI28" s="270"/>
      <c r="EJ28" s="270"/>
      <c r="EL28" s="822" t="s">
        <v>287</v>
      </c>
      <c r="EM28" s="318" t="s">
        <v>281</v>
      </c>
      <c r="EN28" s="274" t="s">
        <v>282</v>
      </c>
      <c r="EO28" s="274">
        <v>1</v>
      </c>
      <c r="EP28" s="274">
        <v>3</v>
      </c>
      <c r="EQ28" s="329">
        <v>0.75</v>
      </c>
      <c r="ER28" s="329">
        <v>0.75</v>
      </c>
      <c r="ES28" s="329">
        <v>0.75</v>
      </c>
      <c r="ET28" s="825">
        <v>0.75</v>
      </c>
    </row>
    <row r="29" spans="1:150" ht="64.5" customHeight="1" thickBot="1" x14ac:dyDescent="0.25">
      <c r="A29" s="277" t="s">
        <v>53</v>
      </c>
      <c r="B29" s="278" t="s">
        <v>54</v>
      </c>
      <c r="C29" s="279" t="s">
        <v>55</v>
      </c>
      <c r="D29" s="280"/>
      <c r="E29" s="8" t="s">
        <v>57</v>
      </c>
      <c r="F29" s="281" t="str">
        <f t="shared" si="4"/>
        <v>E1.P_A</v>
      </c>
      <c r="G29" s="282" t="s">
        <v>58</v>
      </c>
      <c r="H29" s="282" t="s">
        <v>59</v>
      </c>
      <c r="I29" s="407"/>
      <c r="J29" s="285" t="s">
        <v>268</v>
      </c>
      <c r="K29" s="285" t="str">
        <f t="shared" si="5"/>
        <v>E1.P_A.MR4</v>
      </c>
      <c r="L29" s="408" t="s">
        <v>108</v>
      </c>
      <c r="M29" s="409" t="s">
        <v>269</v>
      </c>
      <c r="N29" s="410">
        <v>0</v>
      </c>
      <c r="O29" s="411">
        <v>0.04</v>
      </c>
      <c r="P29" s="406" t="s">
        <v>99</v>
      </c>
      <c r="Q29" s="290" t="str">
        <f t="shared" si="6"/>
        <v>E1.P_A.MR4-MP03-1</v>
      </c>
      <c r="R29" s="313" t="s">
        <v>292</v>
      </c>
      <c r="S29" s="314" t="s">
        <v>293</v>
      </c>
      <c r="T29" s="293">
        <v>1</v>
      </c>
      <c r="U29" s="294">
        <v>3</v>
      </c>
      <c r="V29" s="293" t="s">
        <v>67</v>
      </c>
      <c r="W29" s="321">
        <v>0.75</v>
      </c>
      <c r="X29" s="322">
        <v>0.75</v>
      </c>
      <c r="Y29" s="321">
        <v>0.75</v>
      </c>
      <c r="Z29" s="323">
        <v>0.75</v>
      </c>
      <c r="AA29" s="298"/>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299"/>
      <c r="AY29" s="299"/>
      <c r="AZ29" s="299"/>
      <c r="BA29" s="299"/>
      <c r="BB29" s="299"/>
      <c r="BC29" s="300"/>
      <c r="BD29" s="301" t="s">
        <v>68</v>
      </c>
      <c r="BI29" s="302"/>
      <c r="BJ29" s="303"/>
      <c r="BK29" s="9" t="s">
        <v>294</v>
      </c>
      <c r="BL29" s="304" t="s">
        <v>295</v>
      </c>
      <c r="BN29" s="14" t="s">
        <v>202</v>
      </c>
      <c r="BO29" s="355" t="s">
        <v>203</v>
      </c>
      <c r="BP29" s="15" t="s">
        <v>296</v>
      </c>
      <c r="BQ29" s="356"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7" t="s">
        <v>274</v>
      </c>
      <c r="EC29" s="308" t="s">
        <v>275</v>
      </c>
      <c r="ED29" s="309" t="s">
        <v>829</v>
      </c>
      <c r="EE29" s="310">
        <v>4.75</v>
      </c>
      <c r="EF29" s="333">
        <v>4.5</v>
      </c>
      <c r="EG29" s="270"/>
      <c r="EH29" s="270"/>
      <c r="EI29" s="270"/>
      <c r="EJ29" s="270"/>
      <c r="EL29" s="822" t="s">
        <v>298</v>
      </c>
      <c r="EM29" s="318" t="s">
        <v>292</v>
      </c>
      <c r="EN29" s="274" t="s">
        <v>293</v>
      </c>
      <c r="EO29" s="274">
        <v>1</v>
      </c>
      <c r="EP29" s="274">
        <v>3</v>
      </c>
      <c r="EQ29" s="329">
        <v>0.75</v>
      </c>
      <c r="ER29" s="329">
        <v>0.75</v>
      </c>
      <c r="ES29" s="329">
        <v>0.75</v>
      </c>
      <c r="ET29" s="825">
        <v>0.75</v>
      </c>
    </row>
    <row r="30" spans="1:150" ht="52.5" customHeight="1" thickBot="1" x14ac:dyDescent="0.25">
      <c r="A30" s="277" t="s">
        <v>53</v>
      </c>
      <c r="B30" s="278" t="s">
        <v>54</v>
      </c>
      <c r="C30" s="279" t="s">
        <v>55</v>
      </c>
      <c r="D30" s="280"/>
      <c r="E30" s="8" t="s">
        <v>57</v>
      </c>
      <c r="F30" s="281" t="str">
        <f t="shared" si="4"/>
        <v>E1.P_A</v>
      </c>
      <c r="G30" s="282" t="s">
        <v>58</v>
      </c>
      <c r="H30" s="282" t="s">
        <v>59</v>
      </c>
      <c r="I30" s="407"/>
      <c r="J30" s="285" t="s">
        <v>268</v>
      </c>
      <c r="K30" s="285" t="str">
        <f t="shared" si="5"/>
        <v>E1.P_A.MR4</v>
      </c>
      <c r="L30" s="408" t="s">
        <v>108</v>
      </c>
      <c r="M30" s="409" t="s">
        <v>269</v>
      </c>
      <c r="N30" s="410">
        <v>0</v>
      </c>
      <c r="O30" s="411">
        <v>0.04</v>
      </c>
      <c r="P30" s="406" t="s">
        <v>112</v>
      </c>
      <c r="Q30" s="290" t="str">
        <f t="shared" si="6"/>
        <v>E1.P_A.MR4-MP04-1</v>
      </c>
      <c r="R30" s="313" t="s">
        <v>304</v>
      </c>
      <c r="S30" s="314" t="s">
        <v>305</v>
      </c>
      <c r="T30" s="293">
        <v>0</v>
      </c>
      <c r="U30" s="294">
        <v>1</v>
      </c>
      <c r="V30" s="293" t="s">
        <v>67</v>
      </c>
      <c r="W30" s="321">
        <v>0.25</v>
      </c>
      <c r="X30" s="322">
        <v>0.25</v>
      </c>
      <c r="Y30" s="321">
        <v>0.25</v>
      </c>
      <c r="Z30" s="323">
        <v>0.25</v>
      </c>
      <c r="AA30" s="298"/>
      <c r="AB30" s="299"/>
      <c r="AC30" s="299"/>
      <c r="AD30" s="299"/>
      <c r="AE30" s="299"/>
      <c r="AF30" s="299"/>
      <c r="AG30" s="299"/>
      <c r="AH30" s="299"/>
      <c r="AI30" s="299"/>
      <c r="AJ30" s="299"/>
      <c r="AK30" s="299"/>
      <c r="AL30" s="299"/>
      <c r="AM30" s="299"/>
      <c r="AN30" s="299"/>
      <c r="AO30" s="299"/>
      <c r="AP30" s="299"/>
      <c r="AQ30" s="299"/>
      <c r="AR30" s="299"/>
      <c r="AS30" s="299"/>
      <c r="AT30" s="299"/>
      <c r="AU30" s="299"/>
      <c r="AV30" s="299"/>
      <c r="AW30" s="299"/>
      <c r="AX30" s="299"/>
      <c r="AY30" s="299"/>
      <c r="AZ30" s="299"/>
      <c r="BA30" s="299"/>
      <c r="BB30" s="299"/>
      <c r="BC30" s="300"/>
      <c r="BD30" s="301" t="s">
        <v>68</v>
      </c>
      <c r="BI30" s="302"/>
      <c r="BJ30" s="303"/>
      <c r="BK30" s="9" t="s">
        <v>306</v>
      </c>
      <c r="BL30" s="304" t="s">
        <v>307</v>
      </c>
      <c r="BN30" s="14" t="s">
        <v>217</v>
      </c>
      <c r="BO30" s="355" t="s">
        <v>218</v>
      </c>
      <c r="BP30" s="15" t="s">
        <v>308</v>
      </c>
      <c r="BQ30" s="356"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7" t="s">
        <v>285</v>
      </c>
      <c r="EC30" s="308" t="s">
        <v>286</v>
      </c>
      <c r="ED30" s="309" t="s">
        <v>872</v>
      </c>
      <c r="EE30" s="357">
        <v>184</v>
      </c>
      <c r="EF30" s="357">
        <v>230</v>
      </c>
      <c r="EG30" s="270"/>
      <c r="EH30" s="270"/>
      <c r="EI30" s="270"/>
      <c r="EJ30" s="270"/>
      <c r="EL30" s="822" t="s">
        <v>310</v>
      </c>
      <c r="EM30" s="318" t="s">
        <v>304</v>
      </c>
      <c r="EN30" s="274" t="s">
        <v>305</v>
      </c>
      <c r="EO30" s="274">
        <v>0</v>
      </c>
      <c r="EP30" s="274">
        <v>1</v>
      </c>
      <c r="EQ30" s="329">
        <v>0.25</v>
      </c>
      <c r="ER30" s="329">
        <v>0.25</v>
      </c>
      <c r="ES30" s="329">
        <v>0.25</v>
      </c>
      <c r="ET30" s="825">
        <v>0.25</v>
      </c>
    </row>
    <row r="31" spans="1:150" ht="75" customHeight="1" thickBot="1" x14ac:dyDescent="0.25">
      <c r="A31" s="277" t="s">
        <v>53</v>
      </c>
      <c r="B31" s="278" t="s">
        <v>54</v>
      </c>
      <c r="C31" s="279" t="s">
        <v>55</v>
      </c>
      <c r="D31" s="280"/>
      <c r="E31" s="8" t="s">
        <v>57</v>
      </c>
      <c r="F31" s="281" t="str">
        <f t="shared" si="4"/>
        <v>E1.P_A</v>
      </c>
      <c r="G31" s="282" t="s">
        <v>58</v>
      </c>
      <c r="H31" s="282" t="s">
        <v>59</v>
      </c>
      <c r="I31" s="412"/>
      <c r="J31" s="285" t="s">
        <v>268</v>
      </c>
      <c r="K31" s="285" t="str">
        <f t="shared" si="5"/>
        <v>E1.P_A.MR4</v>
      </c>
      <c r="L31" s="408" t="s">
        <v>108</v>
      </c>
      <c r="M31" s="409" t="s">
        <v>269</v>
      </c>
      <c r="N31" s="413">
        <v>0</v>
      </c>
      <c r="O31" s="414">
        <v>0.04</v>
      </c>
      <c r="P31" s="406" t="s">
        <v>122</v>
      </c>
      <c r="Q31" s="347" t="str">
        <f t="shared" si="6"/>
        <v>E1.P_A.MR4-MP05-1</v>
      </c>
      <c r="R31" s="336" t="s">
        <v>315</v>
      </c>
      <c r="S31" s="337" t="s">
        <v>316</v>
      </c>
      <c r="T31" s="338">
        <v>120</v>
      </c>
      <c r="U31" s="339">
        <v>1500</v>
      </c>
      <c r="V31" s="350" t="s">
        <v>67</v>
      </c>
      <c r="W31" s="352">
        <v>375</v>
      </c>
      <c r="X31" s="353">
        <v>375</v>
      </c>
      <c r="Y31" s="352">
        <v>375</v>
      </c>
      <c r="Z31" s="354">
        <v>375</v>
      </c>
      <c r="AA31" s="298"/>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300"/>
      <c r="BD31" s="301" t="s">
        <v>68</v>
      </c>
      <c r="BI31" s="302"/>
      <c r="BJ31" s="303"/>
      <c r="BK31" s="9" t="s">
        <v>317</v>
      </c>
      <c r="BL31" s="304" t="s">
        <v>318</v>
      </c>
      <c r="BN31" s="14" t="s">
        <v>229</v>
      </c>
      <c r="BO31" s="355" t="s">
        <v>230</v>
      </c>
      <c r="BP31" s="15" t="s">
        <v>319</v>
      </c>
      <c r="BQ31" s="269"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7" t="s">
        <v>296</v>
      </c>
      <c r="EC31" s="308" t="s">
        <v>297</v>
      </c>
      <c r="ED31" s="309" t="s">
        <v>890</v>
      </c>
      <c r="EE31" s="357">
        <v>0</v>
      </c>
      <c r="EF31" s="357">
        <v>80</v>
      </c>
      <c r="EG31" s="270"/>
      <c r="EH31" s="270"/>
      <c r="EI31" s="270"/>
      <c r="EJ31" s="270"/>
      <c r="EL31" s="822" t="s">
        <v>321</v>
      </c>
      <c r="EM31" s="318" t="s">
        <v>315</v>
      </c>
      <c r="EN31" s="274" t="s">
        <v>316</v>
      </c>
      <c r="EO31" s="274">
        <v>120</v>
      </c>
      <c r="EP31" s="274">
        <v>1500</v>
      </c>
      <c r="EQ31" s="275">
        <v>375</v>
      </c>
      <c r="ER31" s="275">
        <v>375</v>
      </c>
      <c r="ES31" s="275">
        <v>375</v>
      </c>
      <c r="ET31" s="826">
        <v>375</v>
      </c>
    </row>
    <row r="32" spans="1:150" ht="135" customHeight="1" x14ac:dyDescent="0.2">
      <c r="A32" s="277" t="s">
        <v>53</v>
      </c>
      <c r="B32" s="278" t="s">
        <v>54</v>
      </c>
      <c r="C32" s="279" t="s">
        <v>55</v>
      </c>
      <c r="D32" s="280"/>
      <c r="E32" s="8" t="s">
        <v>57</v>
      </c>
      <c r="F32" s="281" t="str">
        <f t="shared" si="4"/>
        <v>E1.P_A</v>
      </c>
      <c r="G32" s="282" t="s">
        <v>58</v>
      </c>
      <c r="H32" s="282" t="s">
        <v>59</v>
      </c>
      <c r="I32" s="811" t="s">
        <v>326</v>
      </c>
      <c r="J32" s="397" t="s">
        <v>327</v>
      </c>
      <c r="K32" s="415" t="str">
        <f t="shared" si="5"/>
        <v>E1.P_A.MR5</v>
      </c>
      <c r="L32" s="360" t="s">
        <v>118</v>
      </c>
      <c r="M32" s="361" t="s">
        <v>328</v>
      </c>
      <c r="N32" s="362">
        <v>0</v>
      </c>
      <c r="O32" s="247">
        <v>1</v>
      </c>
      <c r="P32" s="376" t="s">
        <v>64</v>
      </c>
      <c r="Q32" s="365" t="str">
        <f t="shared" si="6"/>
        <v>E1.P_A.MR5-MP01-1</v>
      </c>
      <c r="R32" s="416" t="s">
        <v>329</v>
      </c>
      <c r="S32" s="367" t="s">
        <v>330</v>
      </c>
      <c r="T32" s="368">
        <v>1</v>
      </c>
      <c r="U32" s="369">
        <v>1</v>
      </c>
      <c r="V32" s="368" t="s">
        <v>102</v>
      </c>
      <c r="W32" s="255">
        <v>1</v>
      </c>
      <c r="X32" s="370">
        <v>0</v>
      </c>
      <c r="Y32" s="255">
        <v>0</v>
      </c>
      <c r="Z32" s="371">
        <v>0</v>
      </c>
      <c r="AA32" s="298"/>
      <c r="AB32" s="299"/>
      <c r="AC32" s="299"/>
      <c r="AD32" s="299"/>
      <c r="AE32" s="299"/>
      <c r="AF32" s="299"/>
      <c r="AG32" s="299"/>
      <c r="AH32" s="299"/>
      <c r="AI32" s="299"/>
      <c r="AJ32" s="299"/>
      <c r="AK32" s="299"/>
      <c r="AL32" s="299"/>
      <c r="AM32" s="299"/>
      <c r="AN32" s="299"/>
      <c r="AO32" s="299"/>
      <c r="AP32" s="299"/>
      <c r="AQ32" s="299"/>
      <c r="AR32" s="299"/>
      <c r="AS32" s="299"/>
      <c r="AT32" s="299"/>
      <c r="AU32" s="299"/>
      <c r="AV32" s="299"/>
      <c r="AW32" s="299"/>
      <c r="AX32" s="299"/>
      <c r="AY32" s="299"/>
      <c r="AZ32" s="299"/>
      <c r="BA32" s="299"/>
      <c r="BB32" s="299"/>
      <c r="BC32" s="300"/>
      <c r="BD32" s="301" t="s">
        <v>68</v>
      </c>
      <c r="BI32" s="302"/>
      <c r="BJ32" s="303"/>
      <c r="BK32" s="9" t="s">
        <v>331</v>
      </c>
      <c r="BL32" s="304" t="s">
        <v>332</v>
      </c>
      <c r="BN32" s="5" t="s">
        <v>238</v>
      </c>
      <c r="BO32" s="268" t="s">
        <v>239</v>
      </c>
      <c r="BP32" s="17" t="s">
        <v>333</v>
      </c>
      <c r="BQ32" s="417"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7" t="s">
        <v>308</v>
      </c>
      <c r="EC32" s="418" t="s">
        <v>309</v>
      </c>
      <c r="ED32" s="309" t="s">
        <v>904</v>
      </c>
      <c r="EE32" s="357">
        <v>0</v>
      </c>
      <c r="EF32" s="357">
        <v>2</v>
      </c>
      <c r="EG32" s="270"/>
      <c r="EH32" s="270"/>
      <c r="EI32" s="270"/>
      <c r="EJ32" s="270"/>
      <c r="EL32" s="828" t="s">
        <v>335</v>
      </c>
      <c r="EM32" s="318" t="s">
        <v>329</v>
      </c>
      <c r="EN32" s="274" t="s">
        <v>330</v>
      </c>
      <c r="EO32" s="274">
        <v>1</v>
      </c>
      <c r="EP32" s="274">
        <v>1</v>
      </c>
      <c r="EQ32" s="329">
        <v>0.25</v>
      </c>
      <c r="ER32" s="329">
        <v>0.25</v>
      </c>
      <c r="ES32" s="329">
        <v>0.25</v>
      </c>
      <c r="ET32" s="825">
        <v>0.25</v>
      </c>
    </row>
    <row r="33" spans="1:150" ht="95.25" customHeight="1" thickBot="1" x14ac:dyDescent="0.25">
      <c r="A33" s="277" t="s">
        <v>53</v>
      </c>
      <c r="B33" s="278" t="s">
        <v>54</v>
      </c>
      <c r="C33" s="279" t="s">
        <v>55</v>
      </c>
      <c r="D33" s="280"/>
      <c r="E33" s="8" t="s">
        <v>57</v>
      </c>
      <c r="F33" s="281" t="str">
        <f t="shared" si="4"/>
        <v>E1.P_A</v>
      </c>
      <c r="G33" s="282" t="s">
        <v>58</v>
      </c>
      <c r="H33" s="282" t="s">
        <v>59</v>
      </c>
      <c r="I33" s="419"/>
      <c r="J33" s="285" t="s">
        <v>327</v>
      </c>
      <c r="K33" s="285" t="str">
        <f t="shared" si="5"/>
        <v>E1.P_A.MR5</v>
      </c>
      <c r="L33" s="408" t="s">
        <v>118</v>
      </c>
      <c r="M33" s="409" t="s">
        <v>328</v>
      </c>
      <c r="N33" s="374">
        <v>0</v>
      </c>
      <c r="O33" s="288">
        <v>1</v>
      </c>
      <c r="P33" s="376" t="s">
        <v>87</v>
      </c>
      <c r="Q33" s="377" t="str">
        <f t="shared" si="6"/>
        <v>E1.P_A.MR5-MP02-1</v>
      </c>
      <c r="R33" s="420" t="s">
        <v>340</v>
      </c>
      <c r="S33" s="314" t="s">
        <v>341</v>
      </c>
      <c r="T33" s="293">
        <v>1</v>
      </c>
      <c r="U33" s="294">
        <v>2</v>
      </c>
      <c r="V33" s="293" t="s">
        <v>67</v>
      </c>
      <c r="W33" s="315">
        <v>0.5</v>
      </c>
      <c r="X33" s="330">
        <v>0.5</v>
      </c>
      <c r="Y33" s="315">
        <v>0.5</v>
      </c>
      <c r="Z33" s="316">
        <v>0.5</v>
      </c>
      <c r="AA33" s="298"/>
      <c r="AB33" s="299"/>
      <c r="AC33" s="299"/>
      <c r="AD33" s="299"/>
      <c r="AE33" s="299"/>
      <c r="AF33" s="299"/>
      <c r="AG33" s="299"/>
      <c r="AH33" s="299"/>
      <c r="AI33" s="299"/>
      <c r="AJ33" s="299"/>
      <c r="AK33" s="299"/>
      <c r="AL33" s="299"/>
      <c r="AM33" s="299"/>
      <c r="AN33" s="299"/>
      <c r="AO33" s="299"/>
      <c r="AP33" s="299"/>
      <c r="AQ33" s="299"/>
      <c r="AR33" s="299"/>
      <c r="AS33" s="299"/>
      <c r="AT33" s="299"/>
      <c r="AU33" s="299"/>
      <c r="AV33" s="299"/>
      <c r="AW33" s="299"/>
      <c r="AX33" s="299"/>
      <c r="AY33" s="299"/>
      <c r="AZ33" s="299"/>
      <c r="BA33" s="299"/>
      <c r="BB33" s="299"/>
      <c r="BC33" s="300"/>
      <c r="BD33" s="301" t="s">
        <v>68</v>
      </c>
      <c r="BI33" s="302"/>
      <c r="BJ33" s="303"/>
      <c r="BK33" s="9" t="s">
        <v>342</v>
      </c>
      <c r="BL33" s="304" t="s">
        <v>343</v>
      </c>
      <c r="BN33" s="12" t="s">
        <v>238</v>
      </c>
      <c r="BO33" s="331" t="s">
        <v>239</v>
      </c>
      <c r="BP33" s="18" t="s">
        <v>344</v>
      </c>
      <c r="BQ33" s="421"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7" t="s">
        <v>319</v>
      </c>
      <c r="EC33" s="308" t="s">
        <v>320</v>
      </c>
      <c r="ED33" s="309" t="s">
        <v>927</v>
      </c>
      <c r="EE33" s="357">
        <v>665</v>
      </c>
      <c r="EF33" s="357">
        <v>1100</v>
      </c>
      <c r="EG33" s="270"/>
      <c r="EH33" s="270"/>
      <c r="EI33" s="270"/>
      <c r="EJ33" s="270"/>
      <c r="EL33" s="828" t="s">
        <v>346</v>
      </c>
      <c r="EM33" s="318" t="s">
        <v>340</v>
      </c>
      <c r="EN33" s="274" t="s">
        <v>341</v>
      </c>
      <c r="EO33" s="274">
        <v>1</v>
      </c>
      <c r="EP33" s="274">
        <v>2</v>
      </c>
      <c r="EQ33" s="276">
        <v>0.5</v>
      </c>
      <c r="ER33" s="276">
        <v>0.5</v>
      </c>
      <c r="ES33" s="276">
        <v>0.5</v>
      </c>
      <c r="ET33" s="829">
        <v>0.5</v>
      </c>
    </row>
    <row r="34" spans="1:150" ht="105" customHeight="1" thickBot="1" x14ac:dyDescent="0.25">
      <c r="A34" s="277" t="s">
        <v>53</v>
      </c>
      <c r="B34" s="278" t="s">
        <v>54</v>
      </c>
      <c r="C34" s="279" t="s">
        <v>55</v>
      </c>
      <c r="D34" s="280"/>
      <c r="E34" s="8" t="s">
        <v>57</v>
      </c>
      <c r="F34" s="281" t="str">
        <f t="shared" si="4"/>
        <v>E1.P_A</v>
      </c>
      <c r="G34" s="282" t="s">
        <v>58</v>
      </c>
      <c r="H34" s="282" t="s">
        <v>59</v>
      </c>
      <c r="I34" s="419"/>
      <c r="J34" s="285" t="s">
        <v>327</v>
      </c>
      <c r="K34" s="285" t="str">
        <f t="shared" si="5"/>
        <v>E1.P_A.MR5</v>
      </c>
      <c r="L34" s="408" t="s">
        <v>118</v>
      </c>
      <c r="M34" s="409" t="s">
        <v>328</v>
      </c>
      <c r="N34" s="374">
        <v>0</v>
      </c>
      <c r="O34" s="288">
        <v>1</v>
      </c>
      <c r="P34" s="376" t="s">
        <v>99</v>
      </c>
      <c r="Q34" s="377" t="str">
        <f t="shared" si="6"/>
        <v>E1.P_A.MR5-MP03-1</v>
      </c>
      <c r="R34" s="420" t="s">
        <v>351</v>
      </c>
      <c r="S34" s="314" t="s">
        <v>352</v>
      </c>
      <c r="T34" s="293">
        <v>5</v>
      </c>
      <c r="U34" s="381">
        <v>6</v>
      </c>
      <c r="V34" s="380" t="s">
        <v>67</v>
      </c>
      <c r="W34" s="295">
        <v>2</v>
      </c>
      <c r="X34" s="296">
        <v>2</v>
      </c>
      <c r="Y34" s="295">
        <v>1</v>
      </c>
      <c r="Z34" s="297">
        <v>1</v>
      </c>
      <c r="AA34" s="382"/>
      <c r="AB34" s="383"/>
      <c r="AC34" s="383"/>
      <c r="AD34" s="383"/>
      <c r="AE34" s="383"/>
      <c r="AF34" s="383"/>
      <c r="AG34" s="383"/>
      <c r="AH34" s="383"/>
      <c r="AI34" s="383"/>
      <c r="AJ34" s="383"/>
      <c r="AK34" s="383"/>
      <c r="AL34" s="383"/>
      <c r="AM34" s="383"/>
      <c r="AN34" s="383"/>
      <c r="AO34" s="383"/>
      <c r="AP34" s="383"/>
      <c r="AQ34" s="383"/>
      <c r="AR34" s="383"/>
      <c r="AS34" s="383"/>
      <c r="AT34" s="383"/>
      <c r="AU34" s="383"/>
      <c r="AV34" s="383"/>
      <c r="AW34" s="383"/>
      <c r="AX34" s="383"/>
      <c r="AY34" s="383"/>
      <c r="AZ34" s="383"/>
      <c r="BA34" s="383"/>
      <c r="BB34" s="383"/>
      <c r="BC34" s="384"/>
      <c r="BD34" s="301" t="s">
        <v>68</v>
      </c>
      <c r="BI34" s="302"/>
      <c r="BJ34" s="303"/>
      <c r="BK34" s="9" t="s">
        <v>353</v>
      </c>
      <c r="BL34" s="304" t="s">
        <v>354</v>
      </c>
      <c r="BN34" s="14" t="s">
        <v>249</v>
      </c>
      <c r="BO34" s="355" t="s">
        <v>250</v>
      </c>
      <c r="BP34" s="15" t="s">
        <v>355</v>
      </c>
      <c r="BQ34" s="332"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7" t="s">
        <v>333</v>
      </c>
      <c r="EC34" s="308" t="s">
        <v>334</v>
      </c>
      <c r="ED34" s="309" t="s">
        <v>953</v>
      </c>
      <c r="EE34" s="357">
        <v>25</v>
      </c>
      <c r="EF34" s="357">
        <v>90</v>
      </c>
      <c r="EG34" s="270"/>
      <c r="EH34" s="270"/>
      <c r="EI34" s="270"/>
      <c r="EJ34" s="270"/>
      <c r="EL34" s="828" t="s">
        <v>357</v>
      </c>
      <c r="EM34" s="318" t="s">
        <v>351</v>
      </c>
      <c r="EN34" s="274" t="s">
        <v>352</v>
      </c>
      <c r="EO34" s="274">
        <v>5</v>
      </c>
      <c r="EP34" s="385">
        <v>6</v>
      </c>
      <c r="EQ34" s="275">
        <v>2</v>
      </c>
      <c r="ER34" s="275">
        <v>2</v>
      </c>
      <c r="ES34" s="275">
        <v>1</v>
      </c>
      <c r="ET34" s="826">
        <v>1</v>
      </c>
    </row>
    <row r="35" spans="1:150" ht="85.5" customHeight="1" thickBot="1" x14ac:dyDescent="0.25">
      <c r="A35" s="277" t="s">
        <v>53</v>
      </c>
      <c r="B35" s="278" t="s">
        <v>54</v>
      </c>
      <c r="C35" s="279" t="s">
        <v>55</v>
      </c>
      <c r="D35" s="280"/>
      <c r="E35" s="8" t="s">
        <v>57</v>
      </c>
      <c r="F35" s="281" t="str">
        <f t="shared" si="4"/>
        <v>E1.P_A</v>
      </c>
      <c r="G35" s="422" t="s">
        <v>58</v>
      </c>
      <c r="H35" s="422" t="s">
        <v>59</v>
      </c>
      <c r="I35" s="423"/>
      <c r="J35" s="400" t="s">
        <v>327</v>
      </c>
      <c r="K35" s="400" t="str">
        <f t="shared" si="5"/>
        <v>E1.P_A.MR5</v>
      </c>
      <c r="L35" s="424" t="s">
        <v>118</v>
      </c>
      <c r="M35" s="425" t="s">
        <v>328</v>
      </c>
      <c r="N35" s="388">
        <v>0</v>
      </c>
      <c r="O35" s="426">
        <v>1</v>
      </c>
      <c r="P35" s="376" t="s">
        <v>112</v>
      </c>
      <c r="Q35" s="391" t="str">
        <f t="shared" si="6"/>
        <v>E1.P_A.MR5-MP04-1</v>
      </c>
      <c r="R35" s="427" t="s">
        <v>362</v>
      </c>
      <c r="S35" s="349" t="s">
        <v>363</v>
      </c>
      <c r="T35" s="350">
        <v>0</v>
      </c>
      <c r="U35" s="351">
        <v>1</v>
      </c>
      <c r="V35" s="350" t="s">
        <v>67</v>
      </c>
      <c r="W35" s="394">
        <v>0.25</v>
      </c>
      <c r="X35" s="395">
        <v>0.25</v>
      </c>
      <c r="Y35" s="394">
        <v>0.25</v>
      </c>
      <c r="Z35" s="396">
        <v>0.25</v>
      </c>
      <c r="AA35" s="298"/>
      <c r="AB35" s="299"/>
      <c r="AC35" s="299"/>
      <c r="AD35" s="299"/>
      <c r="AE35" s="299"/>
      <c r="AF35" s="299"/>
      <c r="AG35" s="299"/>
      <c r="AH35" s="299"/>
      <c r="AI35" s="299"/>
      <c r="AJ35" s="299"/>
      <c r="AK35" s="299"/>
      <c r="AL35" s="299"/>
      <c r="AM35" s="299"/>
      <c r="AN35" s="299"/>
      <c r="AO35" s="299"/>
      <c r="AP35" s="299"/>
      <c r="AQ35" s="299"/>
      <c r="AR35" s="299"/>
      <c r="AS35" s="299"/>
      <c r="AT35" s="299"/>
      <c r="AU35" s="299"/>
      <c r="AV35" s="299"/>
      <c r="AW35" s="299"/>
      <c r="AX35" s="299"/>
      <c r="AY35" s="299"/>
      <c r="AZ35" s="299"/>
      <c r="BA35" s="299"/>
      <c r="BB35" s="299"/>
      <c r="BC35" s="300"/>
      <c r="BD35" s="301" t="s">
        <v>68</v>
      </c>
      <c r="BI35" s="302"/>
      <c r="BJ35" s="303"/>
      <c r="BK35" s="9" t="s">
        <v>364</v>
      </c>
      <c r="BL35" s="304" t="s">
        <v>365</v>
      </c>
      <c r="BN35" s="14" t="s">
        <v>258</v>
      </c>
      <c r="BO35" s="355" t="s">
        <v>259</v>
      </c>
      <c r="BP35" s="6" t="s">
        <v>366</v>
      </c>
      <c r="BQ35" s="269"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7" t="s">
        <v>344</v>
      </c>
      <c r="EC35" s="308" t="s">
        <v>345</v>
      </c>
      <c r="ED35" s="309" t="s">
        <v>975</v>
      </c>
      <c r="EE35" s="357">
        <v>18152</v>
      </c>
      <c r="EF35" s="357">
        <v>40000</v>
      </c>
      <c r="EG35" s="270"/>
      <c r="EH35" s="270"/>
      <c r="EI35" s="270"/>
      <c r="EJ35" s="270"/>
      <c r="EL35" s="828" t="s">
        <v>368</v>
      </c>
      <c r="EM35" s="318" t="s">
        <v>362</v>
      </c>
      <c r="EN35" s="274" t="s">
        <v>363</v>
      </c>
      <c r="EO35" s="274">
        <v>0</v>
      </c>
      <c r="EP35" s="274">
        <v>1</v>
      </c>
      <c r="EQ35" s="329">
        <v>0.25</v>
      </c>
      <c r="ER35" s="329">
        <v>0.25</v>
      </c>
      <c r="ES35" s="329">
        <v>0.25</v>
      </c>
      <c r="ET35" s="825">
        <v>0.25</v>
      </c>
    </row>
    <row r="36" spans="1:150" ht="78.75" customHeight="1" thickBot="1" x14ac:dyDescent="0.25">
      <c r="A36" s="277" t="s">
        <v>53</v>
      </c>
      <c r="B36" s="428" t="s">
        <v>54</v>
      </c>
      <c r="C36" s="429" t="s">
        <v>55</v>
      </c>
      <c r="D36" s="430" t="s">
        <v>371</v>
      </c>
      <c r="E36" s="3" t="s">
        <v>372</v>
      </c>
      <c r="F36" s="431" t="str">
        <f t="shared" si="4"/>
        <v>E1.P_B</v>
      </c>
      <c r="G36" s="432" t="s">
        <v>79</v>
      </c>
      <c r="H36" s="433" t="s">
        <v>152</v>
      </c>
      <c r="I36" s="811" t="s">
        <v>373</v>
      </c>
      <c r="J36" s="434" t="s">
        <v>61</v>
      </c>
      <c r="K36" s="415" t="str">
        <f t="shared" si="5"/>
        <v>E1.P_B.MR1</v>
      </c>
      <c r="L36" s="360" t="s">
        <v>128</v>
      </c>
      <c r="M36" s="361" t="s">
        <v>374</v>
      </c>
      <c r="N36" s="405">
        <v>0.2</v>
      </c>
      <c r="O36" s="405">
        <v>1</v>
      </c>
      <c r="P36" s="406" t="s">
        <v>64</v>
      </c>
      <c r="Q36" s="249" t="str">
        <f t="shared" si="6"/>
        <v>E1.P_B.MR1-MP01-1</v>
      </c>
      <c r="R36" s="336" t="s">
        <v>375</v>
      </c>
      <c r="S36" s="337" t="s">
        <v>376</v>
      </c>
      <c r="T36" s="404">
        <v>0.6</v>
      </c>
      <c r="U36" s="435">
        <v>1</v>
      </c>
      <c r="V36" s="254" t="s">
        <v>67</v>
      </c>
      <c r="W36" s="255">
        <v>0</v>
      </c>
      <c r="X36" s="256">
        <v>0.5</v>
      </c>
      <c r="Y36" s="257">
        <v>0.5</v>
      </c>
      <c r="Z36" s="371">
        <v>0</v>
      </c>
      <c r="AA36" s="436">
        <f>45000000+5000000+42000000+149295165+52000000+40000000+81871606+88245720+1159140+75000000+32000000+27000000+100000000+35877140+233000000+25185824+704835+1684614000+815386000-2500000000+2500000000</f>
        <v>3533339430</v>
      </c>
      <c r="AB36" s="437">
        <f>893704160+48000000+51000000+43000000+96928+5128394+13003958</f>
        <v>1053933440</v>
      </c>
      <c r="AC36" s="437">
        <v>500000000</v>
      </c>
      <c r="AD36" s="437"/>
      <c r="AE36" s="437"/>
      <c r="AF36" s="437">
        <f>469367247+541637228+1499262124+16008270+122259387+28727650+1995078</f>
        <v>2679256984</v>
      </c>
      <c r="AG36" s="437">
        <f>SUM(AA36:AF36)</f>
        <v>7766529854</v>
      </c>
      <c r="AH36" s="437">
        <f>AA36*1.035</f>
        <v>3657006310.0499997</v>
      </c>
      <c r="AI36" s="437">
        <f>AB36*1.035</f>
        <v>1090821110.3999999</v>
      </c>
      <c r="AJ36" s="437">
        <f>AC36*1.035-87500000</f>
        <v>429999999.99999994</v>
      </c>
      <c r="AK36" s="437">
        <f>AD36*1.035</f>
        <v>0</v>
      </c>
      <c r="AL36" s="437">
        <f>AE36*1.035</f>
        <v>0</v>
      </c>
      <c r="AM36" s="437">
        <f>AF36*1.035</f>
        <v>2773030978.4399996</v>
      </c>
      <c r="AN36" s="437">
        <f t="shared" ref="AN36" si="8">SUM(AH36:AM36)</f>
        <v>7950858398.8899994</v>
      </c>
      <c r="AO36" s="437">
        <f>AH36*1.035-2500000000</f>
        <v>1285001530.9017496</v>
      </c>
      <c r="AP36" s="437">
        <f t="shared" ref="AP36:AT36" si="9">AI36*1.035</f>
        <v>1128999849.2639997</v>
      </c>
      <c r="AQ36" s="437">
        <f>AJ36*1.035-87500000</f>
        <v>357549999.99999988</v>
      </c>
      <c r="AR36" s="437">
        <f t="shared" si="9"/>
        <v>0</v>
      </c>
      <c r="AS36" s="437">
        <f t="shared" si="9"/>
        <v>0</v>
      </c>
      <c r="AT36" s="437">
        <f t="shared" si="9"/>
        <v>2870087062.6853995</v>
      </c>
      <c r="AU36" s="437">
        <f t="shared" ref="AU36" si="10">SUM(AO36:AT36)</f>
        <v>5641638442.8511486</v>
      </c>
      <c r="AV36" s="437">
        <f>AO36*1.035</f>
        <v>1329976584.4833107</v>
      </c>
      <c r="AW36" s="437">
        <f t="shared" ref="AW36:BA36" si="11">AP36*1.035</f>
        <v>1168514843.9882395</v>
      </c>
      <c r="AX36" s="437">
        <f t="shared" si="11"/>
        <v>370064249.99999982</v>
      </c>
      <c r="AY36" s="437">
        <f t="shared" si="11"/>
        <v>0</v>
      </c>
      <c r="AZ36" s="437">
        <f t="shared" si="11"/>
        <v>0</v>
      </c>
      <c r="BA36" s="437">
        <f t="shared" si="11"/>
        <v>2970540109.8793883</v>
      </c>
      <c r="BB36" s="437">
        <f t="shared" ref="BB36" si="12">SUM(AV36:BA36)</f>
        <v>5839095788.3509388</v>
      </c>
      <c r="BC36" s="438">
        <f t="shared" ref="BC36" si="13">+BB36+AU36+AN36+AG36</f>
        <v>27198122484.092087</v>
      </c>
      <c r="BD36" s="301" t="s">
        <v>377</v>
      </c>
      <c r="BI36" s="302"/>
      <c r="BJ36" s="303"/>
      <c r="BK36" s="16" t="s">
        <v>378</v>
      </c>
      <c r="BL36" s="372" t="s">
        <v>379</v>
      </c>
      <c r="BN36" s="5" t="s">
        <v>272</v>
      </c>
      <c r="BO36" s="268" t="s">
        <v>273</v>
      </c>
      <c r="BP36" s="17" t="s">
        <v>380</v>
      </c>
      <c r="BQ36" s="417"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7" t="s">
        <v>355</v>
      </c>
      <c r="EC36" s="308" t="s">
        <v>356</v>
      </c>
      <c r="ED36" s="309" t="s">
        <v>995</v>
      </c>
      <c r="EE36" s="439">
        <v>87</v>
      </c>
      <c r="EF36" s="439">
        <v>114</v>
      </c>
      <c r="EG36" s="270"/>
      <c r="EH36" s="270"/>
      <c r="EI36" s="270"/>
      <c r="EJ36" s="270"/>
      <c r="EL36" s="822" t="s">
        <v>382</v>
      </c>
      <c r="EM36" s="318" t="s">
        <v>375</v>
      </c>
      <c r="EN36" s="274" t="s">
        <v>1895</v>
      </c>
      <c r="EO36" s="275">
        <v>60</v>
      </c>
      <c r="EP36" s="275">
        <v>100</v>
      </c>
      <c r="EQ36" s="275">
        <v>0</v>
      </c>
      <c r="ER36" s="815">
        <v>0</v>
      </c>
      <c r="ES36" s="276">
        <v>50</v>
      </c>
      <c r="ET36" s="830">
        <v>50</v>
      </c>
    </row>
    <row r="37" spans="1:150" ht="51" customHeight="1" thickBot="1" x14ac:dyDescent="0.25">
      <c r="A37" s="277" t="s">
        <v>53</v>
      </c>
      <c r="B37" s="278" t="s">
        <v>54</v>
      </c>
      <c r="C37" s="279" t="s">
        <v>55</v>
      </c>
      <c r="D37" s="280"/>
      <c r="E37" s="8" t="s">
        <v>372</v>
      </c>
      <c r="F37" s="281" t="str">
        <f t="shared" si="4"/>
        <v>E1.P_B</v>
      </c>
      <c r="G37" s="440" t="s">
        <v>79</v>
      </c>
      <c r="H37" s="441" t="s">
        <v>152</v>
      </c>
      <c r="I37" s="442"/>
      <c r="J37" s="284" t="s">
        <v>61</v>
      </c>
      <c r="K37" s="285" t="str">
        <f t="shared" si="5"/>
        <v>E1.P_B.MR1</v>
      </c>
      <c r="L37" s="443" t="s">
        <v>128</v>
      </c>
      <c r="M37" s="444" t="s">
        <v>374</v>
      </c>
      <c r="N37" s="411">
        <v>0.2</v>
      </c>
      <c r="O37" s="411">
        <v>1</v>
      </c>
      <c r="P37" s="406" t="s">
        <v>87</v>
      </c>
      <c r="Q37" s="290" t="str">
        <f t="shared" si="6"/>
        <v>E1.P_B.MR1-MP02-1</v>
      </c>
      <c r="R37" s="366" t="s">
        <v>388</v>
      </c>
      <c r="S37" s="367" t="s">
        <v>389</v>
      </c>
      <c r="T37" s="368">
        <v>0</v>
      </c>
      <c r="U37" s="369">
        <v>1</v>
      </c>
      <c r="V37" s="293" t="s">
        <v>67</v>
      </c>
      <c r="W37" s="295">
        <v>0</v>
      </c>
      <c r="X37" s="296">
        <v>0</v>
      </c>
      <c r="Y37" s="315">
        <v>0.5</v>
      </c>
      <c r="Z37" s="316">
        <v>0.5</v>
      </c>
      <c r="AA37" s="298"/>
      <c r="AB37" s="299"/>
      <c r="AC37" s="299"/>
      <c r="AD37" s="299"/>
      <c r="AE37" s="299"/>
      <c r="AF37" s="299"/>
      <c r="AG37" s="299"/>
      <c r="AH37" s="299"/>
      <c r="AI37" s="299"/>
      <c r="AJ37" s="299"/>
      <c r="AK37" s="299"/>
      <c r="AL37" s="299"/>
      <c r="AM37" s="299"/>
      <c r="AN37" s="299"/>
      <c r="AO37" s="299"/>
      <c r="AP37" s="299"/>
      <c r="AQ37" s="299"/>
      <c r="AR37" s="299"/>
      <c r="AS37" s="299"/>
      <c r="AT37" s="299"/>
      <c r="AU37" s="299"/>
      <c r="AV37" s="299"/>
      <c r="AW37" s="299"/>
      <c r="AX37" s="299"/>
      <c r="AY37" s="299"/>
      <c r="AZ37" s="299"/>
      <c r="BA37" s="299"/>
      <c r="BB37" s="299"/>
      <c r="BC37" s="300"/>
      <c r="BD37" s="301" t="s">
        <v>377</v>
      </c>
      <c r="BI37" s="378" t="s">
        <v>103</v>
      </c>
      <c r="BJ37" s="379" t="s">
        <v>104</v>
      </c>
      <c r="BK37" s="4" t="s">
        <v>390</v>
      </c>
      <c r="BL37" s="267" t="s">
        <v>391</v>
      </c>
      <c r="BN37" s="12" t="s">
        <v>272</v>
      </c>
      <c r="BO37" s="331" t="s">
        <v>273</v>
      </c>
      <c r="BP37" s="19" t="s">
        <v>392</v>
      </c>
      <c r="BQ37" s="445"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7" t="s">
        <v>366</v>
      </c>
      <c r="EC37" s="308" t="s">
        <v>367</v>
      </c>
      <c r="ED37" s="309" t="s">
        <v>1073</v>
      </c>
      <c r="EE37" s="317" t="s">
        <v>1074</v>
      </c>
      <c r="EF37" s="317" t="s">
        <v>1075</v>
      </c>
      <c r="EG37" s="270"/>
      <c r="EH37" s="270"/>
      <c r="EI37" s="270"/>
      <c r="EJ37" s="270"/>
      <c r="EL37" s="822" t="s">
        <v>394</v>
      </c>
      <c r="EM37" s="318" t="s">
        <v>388</v>
      </c>
      <c r="EN37" s="274" t="s">
        <v>389</v>
      </c>
      <c r="EO37" s="274">
        <v>0</v>
      </c>
      <c r="EP37" s="274">
        <v>1</v>
      </c>
      <c r="EQ37" s="275">
        <v>0</v>
      </c>
      <c r="ER37" s="275">
        <v>0</v>
      </c>
      <c r="ES37" s="276">
        <v>0.5</v>
      </c>
      <c r="ET37" s="829">
        <v>0.5</v>
      </c>
    </row>
    <row r="38" spans="1:150" ht="81" customHeight="1" x14ac:dyDescent="0.2">
      <c r="A38" s="277" t="s">
        <v>53</v>
      </c>
      <c r="B38" s="278" t="s">
        <v>54</v>
      </c>
      <c r="C38" s="279" t="s">
        <v>55</v>
      </c>
      <c r="D38" s="280"/>
      <c r="E38" s="8" t="s">
        <v>372</v>
      </c>
      <c r="F38" s="281" t="str">
        <f t="shared" si="4"/>
        <v>E1.P_B</v>
      </c>
      <c r="G38" s="440" t="s">
        <v>79</v>
      </c>
      <c r="H38" s="441" t="s">
        <v>152</v>
      </c>
      <c r="I38" s="442"/>
      <c r="J38" s="284" t="s">
        <v>61</v>
      </c>
      <c r="K38" s="285" t="str">
        <f t="shared" si="5"/>
        <v>E1.P_B.MR1</v>
      </c>
      <c r="L38" s="443" t="s">
        <v>128</v>
      </c>
      <c r="M38" s="444" t="s">
        <v>374</v>
      </c>
      <c r="N38" s="411">
        <v>0.2</v>
      </c>
      <c r="O38" s="411">
        <v>1</v>
      </c>
      <c r="P38" s="406" t="s">
        <v>99</v>
      </c>
      <c r="Q38" s="290" t="str">
        <f t="shared" si="6"/>
        <v>E1.P_B.MR1-MP03-1</v>
      </c>
      <c r="R38" s="313" t="s">
        <v>399</v>
      </c>
      <c r="S38" s="314" t="s">
        <v>400</v>
      </c>
      <c r="T38" s="293">
        <v>0</v>
      </c>
      <c r="U38" s="294">
        <v>1</v>
      </c>
      <c r="V38" s="293" t="s">
        <v>67</v>
      </c>
      <c r="W38" s="321">
        <v>0.25</v>
      </c>
      <c r="X38" s="322">
        <v>0.25</v>
      </c>
      <c r="Y38" s="321">
        <v>0.25</v>
      </c>
      <c r="Z38" s="323">
        <v>0.25</v>
      </c>
      <c r="AA38" s="298"/>
      <c r="AB38" s="299"/>
      <c r="AC38" s="299"/>
      <c r="AD38" s="299"/>
      <c r="AE38" s="299"/>
      <c r="AF38" s="299"/>
      <c r="AG38" s="299"/>
      <c r="AH38" s="299"/>
      <c r="AI38" s="299"/>
      <c r="AJ38" s="299"/>
      <c r="AK38" s="299"/>
      <c r="AL38" s="299"/>
      <c r="AM38" s="299"/>
      <c r="AN38" s="299"/>
      <c r="AO38" s="299"/>
      <c r="AP38" s="299"/>
      <c r="AQ38" s="299"/>
      <c r="AR38" s="299"/>
      <c r="AS38" s="299"/>
      <c r="AT38" s="299"/>
      <c r="AU38" s="299"/>
      <c r="AV38" s="299"/>
      <c r="AW38" s="299"/>
      <c r="AX38" s="299"/>
      <c r="AY38" s="299"/>
      <c r="AZ38" s="299"/>
      <c r="BA38" s="299"/>
      <c r="BB38" s="299"/>
      <c r="BC38" s="300"/>
      <c r="BD38" s="301" t="s">
        <v>377</v>
      </c>
      <c r="BI38" s="302"/>
      <c r="BJ38" s="303"/>
      <c r="BK38" s="9" t="s">
        <v>401</v>
      </c>
      <c r="BL38" s="304" t="s">
        <v>402</v>
      </c>
      <c r="BN38" s="5" t="s">
        <v>283</v>
      </c>
      <c r="BO38" s="268" t="s">
        <v>284</v>
      </c>
      <c r="BP38" s="17" t="s">
        <v>403</v>
      </c>
      <c r="BQ38" s="417"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7" t="s">
        <v>380</v>
      </c>
      <c r="EC38" s="308" t="s">
        <v>381</v>
      </c>
      <c r="ED38" s="309" t="s">
        <v>1129</v>
      </c>
      <c r="EE38" s="357">
        <v>99</v>
      </c>
      <c r="EF38" s="357">
        <v>99</v>
      </c>
      <c r="EG38" s="270"/>
      <c r="EH38" s="270"/>
      <c r="EI38" s="270"/>
      <c r="EJ38" s="270"/>
      <c r="EL38" s="822" t="s">
        <v>405</v>
      </c>
      <c r="EM38" s="318" t="s">
        <v>399</v>
      </c>
      <c r="EN38" s="274" t="s">
        <v>400</v>
      </c>
      <c r="EO38" s="274">
        <v>0</v>
      </c>
      <c r="EP38" s="274">
        <v>1</v>
      </c>
      <c r="EQ38" s="329">
        <v>0.25</v>
      </c>
      <c r="ER38" s="329">
        <v>0.25</v>
      </c>
      <c r="ES38" s="329">
        <v>0.25</v>
      </c>
      <c r="ET38" s="825">
        <v>0.25</v>
      </c>
    </row>
    <row r="39" spans="1:150" ht="57" customHeight="1" thickBot="1" x14ac:dyDescent="0.25">
      <c r="A39" s="277" t="s">
        <v>53</v>
      </c>
      <c r="B39" s="278" t="s">
        <v>54</v>
      </c>
      <c r="C39" s="279" t="s">
        <v>55</v>
      </c>
      <c r="D39" s="280"/>
      <c r="E39" s="8" t="s">
        <v>372</v>
      </c>
      <c r="F39" s="281" t="str">
        <f t="shared" si="4"/>
        <v>E1.P_B</v>
      </c>
      <c r="G39" s="440" t="s">
        <v>79</v>
      </c>
      <c r="H39" s="441" t="s">
        <v>152</v>
      </c>
      <c r="I39" s="446"/>
      <c r="J39" s="340" t="s">
        <v>61</v>
      </c>
      <c r="K39" s="400" t="str">
        <f t="shared" si="5"/>
        <v>E1.P_B.MR1</v>
      </c>
      <c r="L39" s="447" t="s">
        <v>128</v>
      </c>
      <c r="M39" s="448" t="s">
        <v>374</v>
      </c>
      <c r="N39" s="414">
        <v>0.2</v>
      </c>
      <c r="O39" s="414">
        <v>1</v>
      </c>
      <c r="P39" s="406" t="s">
        <v>112</v>
      </c>
      <c r="Q39" s="449" t="str">
        <f t="shared" si="6"/>
        <v>E1.P_B.MR1-MP04-1</v>
      </c>
      <c r="R39" s="348" t="s">
        <v>410</v>
      </c>
      <c r="S39" s="349" t="s">
        <v>411</v>
      </c>
      <c r="T39" s="350">
        <v>0</v>
      </c>
      <c r="U39" s="351">
        <v>1</v>
      </c>
      <c r="V39" s="350" t="s">
        <v>67</v>
      </c>
      <c r="W39" s="352">
        <v>0</v>
      </c>
      <c r="X39" s="353">
        <v>0</v>
      </c>
      <c r="Y39" s="402">
        <v>0.5</v>
      </c>
      <c r="Z39" s="403">
        <v>0.5</v>
      </c>
      <c r="AA39" s="298"/>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300"/>
      <c r="BD39" s="301" t="s">
        <v>377</v>
      </c>
      <c r="BI39" s="302"/>
      <c r="BJ39" s="303"/>
      <c r="BK39" s="9" t="s">
        <v>412</v>
      </c>
      <c r="BL39" s="304" t="s">
        <v>413</v>
      </c>
      <c r="BN39" s="12" t="s">
        <v>283</v>
      </c>
      <c r="BO39" s="331" t="s">
        <v>284</v>
      </c>
      <c r="BP39" s="18" t="s">
        <v>414</v>
      </c>
      <c r="BQ39" s="421"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7" t="s">
        <v>392</v>
      </c>
      <c r="EC39" s="308" t="s">
        <v>393</v>
      </c>
      <c r="ED39" s="309" t="s">
        <v>1143</v>
      </c>
      <c r="EE39" s="357">
        <v>2</v>
      </c>
      <c r="EF39" s="357">
        <v>5</v>
      </c>
      <c r="EG39" s="270"/>
      <c r="EH39" s="270"/>
      <c r="EI39" s="270"/>
      <c r="EJ39" s="270"/>
      <c r="EL39" s="832" t="s">
        <v>416</v>
      </c>
      <c r="EM39" s="833" t="s">
        <v>410</v>
      </c>
      <c r="EN39" s="807" t="s">
        <v>411</v>
      </c>
      <c r="EO39" s="807">
        <v>0</v>
      </c>
      <c r="EP39" s="807">
        <v>1</v>
      </c>
      <c r="EQ39" s="806">
        <v>0</v>
      </c>
      <c r="ER39" s="806">
        <v>0</v>
      </c>
      <c r="ES39" s="805">
        <v>0.5</v>
      </c>
      <c r="ET39" s="831">
        <v>0.5</v>
      </c>
    </row>
    <row r="40" spans="1:150" ht="98.25" customHeight="1" thickBot="1" x14ac:dyDescent="0.25">
      <c r="A40" s="277" t="s">
        <v>53</v>
      </c>
      <c r="B40" s="450" t="s">
        <v>54</v>
      </c>
      <c r="C40" s="451" t="s">
        <v>55</v>
      </c>
      <c r="D40" s="451"/>
      <c r="E40" s="8" t="s">
        <v>372</v>
      </c>
      <c r="F40" s="281" t="str">
        <f t="shared" si="4"/>
        <v>E1.P_B</v>
      </c>
      <c r="G40" s="452" t="s">
        <v>79</v>
      </c>
      <c r="H40" s="452" t="s">
        <v>152</v>
      </c>
      <c r="I40" s="453" t="s">
        <v>419</v>
      </c>
      <c r="J40" s="454" t="s">
        <v>167</v>
      </c>
      <c r="K40" s="455" t="str">
        <f t="shared" si="5"/>
        <v>E1.P_B.MR2</v>
      </c>
      <c r="L40" s="360" t="s">
        <v>138</v>
      </c>
      <c r="M40" s="361" t="s">
        <v>420</v>
      </c>
      <c r="N40" s="362">
        <v>5295</v>
      </c>
      <c r="O40" s="247">
        <v>5295</v>
      </c>
      <c r="P40" s="399" t="s">
        <v>64</v>
      </c>
      <c r="Q40" s="365" t="str">
        <f t="shared" si="6"/>
        <v>E1.P_B.MR2-MP01-1</v>
      </c>
      <c r="R40" s="366" t="s">
        <v>421</v>
      </c>
      <c r="S40" s="367" t="s">
        <v>422</v>
      </c>
      <c r="T40" s="368">
        <v>5295</v>
      </c>
      <c r="U40" s="369">
        <v>5295</v>
      </c>
      <c r="V40" s="368" t="s">
        <v>102</v>
      </c>
      <c r="W40" s="255">
        <v>5295</v>
      </c>
      <c r="X40" s="370">
        <v>5295</v>
      </c>
      <c r="Y40" s="255">
        <v>5295</v>
      </c>
      <c r="Z40" s="371">
        <v>5295</v>
      </c>
      <c r="AA40" s="298"/>
      <c r="AB40" s="299"/>
      <c r="AC40" s="299"/>
      <c r="AD40" s="299"/>
      <c r="AE40" s="299"/>
      <c r="AF40" s="299"/>
      <c r="AG40" s="299"/>
      <c r="AH40" s="299"/>
      <c r="AI40" s="299"/>
      <c r="AJ40" s="299"/>
      <c r="AK40" s="299"/>
      <c r="AL40" s="299"/>
      <c r="AM40" s="299"/>
      <c r="AN40" s="299"/>
      <c r="AO40" s="299"/>
      <c r="AP40" s="299"/>
      <c r="AQ40" s="299"/>
      <c r="AR40" s="299"/>
      <c r="AS40" s="299"/>
      <c r="AT40" s="299"/>
      <c r="AU40" s="299"/>
      <c r="AV40" s="299"/>
      <c r="AW40" s="299"/>
      <c r="AX40" s="299"/>
      <c r="AY40" s="299"/>
      <c r="AZ40" s="299"/>
      <c r="BA40" s="299"/>
      <c r="BB40" s="299"/>
      <c r="BC40" s="300"/>
      <c r="BD40" s="301" t="s">
        <v>377</v>
      </c>
      <c r="BI40" s="302"/>
      <c r="BJ40" s="303"/>
      <c r="BK40" s="9" t="s">
        <v>423</v>
      </c>
      <c r="BL40" s="304" t="s">
        <v>424</v>
      </c>
      <c r="BN40" s="14" t="s">
        <v>294</v>
      </c>
      <c r="BO40" s="355" t="s">
        <v>295</v>
      </c>
      <c r="BP40" s="13" t="s">
        <v>425</v>
      </c>
      <c r="BQ40" s="332"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7" t="s">
        <v>403</v>
      </c>
      <c r="EC40" s="308" t="s">
        <v>404</v>
      </c>
      <c r="ED40" s="309" t="s">
        <v>1148</v>
      </c>
      <c r="EE40" s="439">
        <v>0</v>
      </c>
      <c r="EF40" s="439">
        <v>6</v>
      </c>
      <c r="EG40" s="270"/>
      <c r="EH40" s="270"/>
      <c r="EI40" s="270"/>
      <c r="EJ40" s="270"/>
      <c r="EL40" s="828" t="s">
        <v>427</v>
      </c>
      <c r="EM40" s="318" t="s">
        <v>421</v>
      </c>
      <c r="EN40" s="274" t="s">
        <v>422</v>
      </c>
      <c r="EO40" s="274">
        <v>5295</v>
      </c>
      <c r="EP40" s="274">
        <v>5295</v>
      </c>
      <c r="EQ40" s="275">
        <v>5295</v>
      </c>
      <c r="ER40" s="275">
        <v>5295</v>
      </c>
      <c r="ES40" s="275">
        <v>5295</v>
      </c>
      <c r="ET40" s="826">
        <v>5295</v>
      </c>
    </row>
    <row r="41" spans="1:150" ht="60" customHeight="1" thickBot="1" x14ac:dyDescent="0.25">
      <c r="A41" s="277" t="s">
        <v>53</v>
      </c>
      <c r="B41" s="278" t="s">
        <v>54</v>
      </c>
      <c r="C41" s="279" t="s">
        <v>55</v>
      </c>
      <c r="D41" s="280"/>
      <c r="E41" s="8" t="s">
        <v>372</v>
      </c>
      <c r="F41" s="281" t="str">
        <f t="shared" si="4"/>
        <v>E1.P_B</v>
      </c>
      <c r="G41" s="440" t="s">
        <v>79</v>
      </c>
      <c r="H41" s="440" t="s">
        <v>152</v>
      </c>
      <c r="I41" s="456"/>
      <c r="J41" s="457" t="s">
        <v>167</v>
      </c>
      <c r="K41" s="373" t="str">
        <f t="shared" si="5"/>
        <v>E1.P_B.MR2</v>
      </c>
      <c r="L41" s="458" t="s">
        <v>138</v>
      </c>
      <c r="M41" s="459" t="s">
        <v>420</v>
      </c>
      <c r="N41" s="374">
        <v>5295</v>
      </c>
      <c r="O41" s="288">
        <v>5295</v>
      </c>
      <c r="P41" s="399" t="s">
        <v>87</v>
      </c>
      <c r="Q41" s="377" t="str">
        <f t="shared" si="6"/>
        <v>E1.P_B.MR2-MP02-1</v>
      </c>
      <c r="R41" s="313" t="s">
        <v>432</v>
      </c>
      <c r="S41" s="314" t="s">
        <v>433</v>
      </c>
      <c r="T41" s="293">
        <v>1</v>
      </c>
      <c r="U41" s="294">
        <v>1</v>
      </c>
      <c r="V41" s="293" t="s">
        <v>102</v>
      </c>
      <c r="W41" s="321">
        <v>0.25</v>
      </c>
      <c r="X41" s="322">
        <v>0.25</v>
      </c>
      <c r="Y41" s="321">
        <v>0.25</v>
      </c>
      <c r="Z41" s="323">
        <v>0.25</v>
      </c>
      <c r="AA41" s="298"/>
      <c r="AB41" s="299"/>
      <c r="AC41" s="299"/>
      <c r="AD41" s="299"/>
      <c r="AE41" s="299"/>
      <c r="AF41" s="299"/>
      <c r="AG41" s="299"/>
      <c r="AH41" s="299"/>
      <c r="AI41" s="299"/>
      <c r="AJ41" s="299"/>
      <c r="AK41" s="299"/>
      <c r="AL41" s="299"/>
      <c r="AM41" s="299"/>
      <c r="AN41" s="299"/>
      <c r="AO41" s="299"/>
      <c r="AP41" s="299"/>
      <c r="AQ41" s="299"/>
      <c r="AR41" s="299"/>
      <c r="AS41" s="299"/>
      <c r="AT41" s="299"/>
      <c r="AU41" s="299"/>
      <c r="AV41" s="299"/>
      <c r="AW41" s="299"/>
      <c r="AX41" s="299"/>
      <c r="AY41" s="299"/>
      <c r="AZ41" s="299"/>
      <c r="BA41" s="299"/>
      <c r="BB41" s="299"/>
      <c r="BC41" s="300"/>
      <c r="BD41" s="301" t="s">
        <v>377</v>
      </c>
      <c r="BI41" s="460"/>
      <c r="BJ41" s="461"/>
      <c r="BK41" s="16" t="s">
        <v>434</v>
      </c>
      <c r="BL41" s="372" t="s">
        <v>435</v>
      </c>
      <c r="BN41" s="14" t="s">
        <v>306</v>
      </c>
      <c r="BO41" s="355" t="s">
        <v>307</v>
      </c>
      <c r="BP41" s="15" t="s">
        <v>436</v>
      </c>
      <c r="BQ41" s="356"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7" t="s">
        <v>414</v>
      </c>
      <c r="EC41" s="308" t="s">
        <v>415</v>
      </c>
      <c r="ED41" s="308" t="s">
        <v>1148</v>
      </c>
      <c r="EE41" s="357">
        <v>0</v>
      </c>
      <c r="EF41" s="357">
        <v>4</v>
      </c>
      <c r="EG41" s="270"/>
      <c r="EH41" s="270"/>
      <c r="EI41" s="270"/>
      <c r="EJ41" s="270"/>
      <c r="EL41" s="828" t="s">
        <v>438</v>
      </c>
      <c r="EM41" s="318" t="s">
        <v>432</v>
      </c>
      <c r="EN41" s="274" t="s">
        <v>433</v>
      </c>
      <c r="EO41" s="274">
        <v>1</v>
      </c>
      <c r="EP41" s="274">
        <v>1</v>
      </c>
      <c r="EQ41" s="329">
        <v>1</v>
      </c>
      <c r="ER41" s="329">
        <v>1</v>
      </c>
      <c r="ES41" s="329">
        <v>1</v>
      </c>
      <c r="ET41" s="825">
        <v>1</v>
      </c>
    </row>
    <row r="42" spans="1:150" ht="78.75" customHeight="1" thickBot="1" x14ac:dyDescent="0.25">
      <c r="A42" s="277" t="s">
        <v>53</v>
      </c>
      <c r="B42" s="278" t="s">
        <v>54</v>
      </c>
      <c r="C42" s="279" t="s">
        <v>55</v>
      </c>
      <c r="D42" s="280"/>
      <c r="E42" s="8" t="s">
        <v>372</v>
      </c>
      <c r="F42" s="281" t="str">
        <f t="shared" si="4"/>
        <v>E1.P_B</v>
      </c>
      <c r="G42" s="440" t="s">
        <v>79</v>
      </c>
      <c r="H42" s="440" t="s">
        <v>152</v>
      </c>
      <c r="I42" s="462"/>
      <c r="J42" s="463" t="s">
        <v>167</v>
      </c>
      <c r="K42" s="464" t="str">
        <f t="shared" si="5"/>
        <v>E1.P_B.MR2</v>
      </c>
      <c r="L42" s="465" t="s">
        <v>138</v>
      </c>
      <c r="M42" s="466" t="s">
        <v>420</v>
      </c>
      <c r="N42" s="388">
        <v>5295</v>
      </c>
      <c r="O42" s="426">
        <v>5295</v>
      </c>
      <c r="P42" s="399" t="s">
        <v>99</v>
      </c>
      <c r="Q42" s="391" t="str">
        <f t="shared" si="6"/>
        <v>E1.P_B.MR2-MP03-1</v>
      </c>
      <c r="R42" s="336" t="s">
        <v>441</v>
      </c>
      <c r="S42" s="337" t="s">
        <v>442</v>
      </c>
      <c r="T42" s="392">
        <v>0</v>
      </c>
      <c r="U42" s="393">
        <v>1</v>
      </c>
      <c r="V42" s="392" t="s">
        <v>67</v>
      </c>
      <c r="W42" s="394">
        <v>0.25</v>
      </c>
      <c r="X42" s="395">
        <v>0.25</v>
      </c>
      <c r="Y42" s="394">
        <v>0.25</v>
      </c>
      <c r="Z42" s="396">
        <v>0.25</v>
      </c>
      <c r="AA42" s="382"/>
      <c r="AB42" s="383"/>
      <c r="AC42" s="383"/>
      <c r="AD42" s="383"/>
      <c r="AE42" s="383"/>
      <c r="AF42" s="383"/>
      <c r="AG42" s="383"/>
      <c r="AH42" s="383"/>
      <c r="AI42" s="383"/>
      <c r="AJ42" s="383"/>
      <c r="AK42" s="383"/>
      <c r="AL42" s="383"/>
      <c r="AM42" s="383"/>
      <c r="AN42" s="383"/>
      <c r="AO42" s="383"/>
      <c r="AP42" s="383"/>
      <c r="AQ42" s="383"/>
      <c r="AR42" s="383"/>
      <c r="AS42" s="383"/>
      <c r="AT42" s="383"/>
      <c r="AU42" s="383"/>
      <c r="AV42" s="383"/>
      <c r="AW42" s="383"/>
      <c r="AX42" s="383"/>
      <c r="AY42" s="383"/>
      <c r="AZ42" s="383"/>
      <c r="BA42" s="383"/>
      <c r="BB42" s="383"/>
      <c r="BC42" s="384"/>
      <c r="BD42" s="301" t="s">
        <v>377</v>
      </c>
      <c r="BN42" s="14" t="s">
        <v>317</v>
      </c>
      <c r="BO42" s="355" t="s">
        <v>318</v>
      </c>
      <c r="BP42" s="15" t="s">
        <v>443</v>
      </c>
      <c r="BQ42" s="356"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7" t="s">
        <v>425</v>
      </c>
      <c r="EC42" s="308" t="s">
        <v>426</v>
      </c>
      <c r="ED42" s="309" t="s">
        <v>1190</v>
      </c>
      <c r="EE42" s="357">
        <v>0</v>
      </c>
      <c r="EF42" s="357">
        <v>4</v>
      </c>
      <c r="EG42" s="270"/>
      <c r="EH42" s="270"/>
      <c r="EI42" s="270"/>
      <c r="EJ42" s="270"/>
      <c r="EL42" s="828" t="s">
        <v>445</v>
      </c>
      <c r="EM42" s="318" t="s">
        <v>441</v>
      </c>
      <c r="EN42" s="274" t="s">
        <v>442</v>
      </c>
      <c r="EO42" s="385">
        <v>0</v>
      </c>
      <c r="EP42" s="385">
        <v>1</v>
      </c>
      <c r="EQ42" s="329">
        <v>0.25</v>
      </c>
      <c r="ER42" s="329">
        <v>0.25</v>
      </c>
      <c r="ES42" s="329">
        <v>0.25</v>
      </c>
      <c r="ET42" s="825">
        <v>0.25</v>
      </c>
    </row>
    <row r="43" spans="1:150" ht="115.5" customHeight="1" thickBot="1" x14ac:dyDescent="0.3">
      <c r="A43" s="277" t="s">
        <v>53</v>
      </c>
      <c r="B43" s="450" t="s">
        <v>54</v>
      </c>
      <c r="C43" s="451" t="s">
        <v>55</v>
      </c>
      <c r="D43" s="451"/>
      <c r="E43" s="8" t="s">
        <v>372</v>
      </c>
      <c r="F43" s="281" t="str">
        <f t="shared" si="4"/>
        <v>E1.P_B</v>
      </c>
      <c r="G43" s="452" t="s">
        <v>79</v>
      </c>
      <c r="H43" s="452" t="s">
        <v>152</v>
      </c>
      <c r="I43" s="453" t="s">
        <v>450</v>
      </c>
      <c r="J43" s="454" t="s">
        <v>212</v>
      </c>
      <c r="K43" s="455" t="str">
        <f t="shared" si="5"/>
        <v>E1.P_B.MR3</v>
      </c>
      <c r="L43" s="360" t="s">
        <v>148</v>
      </c>
      <c r="M43" s="361" t="s">
        <v>451</v>
      </c>
      <c r="N43" s="247">
        <v>0</v>
      </c>
      <c r="O43" s="247">
        <v>20</v>
      </c>
      <c r="P43" s="376" t="s">
        <v>64</v>
      </c>
      <c r="Q43" s="26" t="str">
        <f t="shared" si="6"/>
        <v>E1.P_B.MR3-MP01-1</v>
      </c>
      <c r="R43" s="416" t="s">
        <v>452</v>
      </c>
      <c r="S43" s="367" t="s">
        <v>453</v>
      </c>
      <c r="T43" s="368">
        <v>0</v>
      </c>
      <c r="U43" s="369">
        <v>2</v>
      </c>
      <c r="V43" s="368" t="s">
        <v>67</v>
      </c>
      <c r="W43" s="257">
        <v>0.5</v>
      </c>
      <c r="X43" s="256">
        <v>0.5</v>
      </c>
      <c r="Y43" s="257">
        <v>0.5</v>
      </c>
      <c r="Z43" s="258">
        <v>0.5</v>
      </c>
      <c r="AA43" s="298"/>
      <c r="AB43" s="299"/>
      <c r="AC43" s="299"/>
      <c r="AD43" s="299"/>
      <c r="AE43" s="299"/>
      <c r="AF43" s="299"/>
      <c r="AG43" s="299"/>
      <c r="AH43" s="299"/>
      <c r="AI43" s="299"/>
      <c r="AJ43" s="299"/>
      <c r="AK43" s="299"/>
      <c r="AL43" s="299"/>
      <c r="AM43" s="299"/>
      <c r="AN43" s="299"/>
      <c r="AO43" s="299"/>
      <c r="AP43" s="299"/>
      <c r="AQ43" s="299"/>
      <c r="AR43" s="299"/>
      <c r="AS43" s="299"/>
      <c r="AT43" s="299"/>
      <c r="AU43" s="299"/>
      <c r="AV43" s="299"/>
      <c r="AW43" s="299"/>
      <c r="AX43" s="299"/>
      <c r="AY43" s="299"/>
      <c r="AZ43" s="299"/>
      <c r="BA43" s="299"/>
      <c r="BB43" s="299"/>
      <c r="BC43" s="300"/>
      <c r="BD43" s="301" t="s">
        <v>377</v>
      </c>
      <c r="BN43" s="14" t="s">
        <v>331</v>
      </c>
      <c r="BO43" s="355" t="s">
        <v>332</v>
      </c>
      <c r="BP43" s="15" t="s">
        <v>454</v>
      </c>
      <c r="BQ43" s="356"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7" t="s">
        <v>436</v>
      </c>
      <c r="EC43" s="308" t="s">
        <v>437</v>
      </c>
      <c r="ED43" s="309" t="s">
        <v>1219</v>
      </c>
      <c r="EE43" s="439">
        <v>0</v>
      </c>
      <c r="EF43" s="311">
        <v>20</v>
      </c>
      <c r="EG43" s="270"/>
      <c r="EH43" s="270"/>
      <c r="EI43" s="270"/>
      <c r="EJ43" s="270"/>
      <c r="EL43" s="828" t="s">
        <v>456</v>
      </c>
      <c r="EM43" s="318" t="s">
        <v>452</v>
      </c>
      <c r="EN43" s="274" t="s">
        <v>453</v>
      </c>
      <c r="EO43" s="274">
        <v>0</v>
      </c>
      <c r="EP43" s="274">
        <v>2</v>
      </c>
      <c r="EQ43" s="276">
        <v>0.5</v>
      </c>
      <c r="ER43" s="276">
        <v>0.5</v>
      </c>
      <c r="ES43" s="276">
        <v>0.5</v>
      </c>
      <c r="ET43" s="829">
        <v>0.5</v>
      </c>
    </row>
    <row r="44" spans="1:150" ht="52.5" customHeight="1" thickBot="1" x14ac:dyDescent="0.25">
      <c r="A44" s="277" t="s">
        <v>53</v>
      </c>
      <c r="B44" s="467" t="s">
        <v>54</v>
      </c>
      <c r="C44" s="468" t="s">
        <v>55</v>
      </c>
      <c r="D44" s="451"/>
      <c r="E44" s="8" t="s">
        <v>372</v>
      </c>
      <c r="F44" s="281" t="str">
        <f t="shared" si="4"/>
        <v>E1.P_B</v>
      </c>
      <c r="G44" s="469" t="s">
        <v>79</v>
      </c>
      <c r="H44" s="469" t="s">
        <v>152</v>
      </c>
      <c r="I44" s="456"/>
      <c r="J44" s="457" t="s">
        <v>212</v>
      </c>
      <c r="K44" s="373" t="str">
        <f t="shared" si="5"/>
        <v>E1.P_B.MR3</v>
      </c>
      <c r="L44" s="470" t="s">
        <v>148</v>
      </c>
      <c r="M44" s="471" t="s">
        <v>451</v>
      </c>
      <c r="N44" s="288">
        <v>0</v>
      </c>
      <c r="O44" s="288">
        <v>20</v>
      </c>
      <c r="P44" s="376" t="s">
        <v>87</v>
      </c>
      <c r="Q44" s="365" t="str">
        <f t="shared" si="6"/>
        <v>E1.P_B.MR3-MP02-1</v>
      </c>
      <c r="R44" s="420" t="s">
        <v>461</v>
      </c>
      <c r="S44" s="314" t="s">
        <v>453</v>
      </c>
      <c r="T44" s="293">
        <v>0</v>
      </c>
      <c r="U44" s="294">
        <v>2</v>
      </c>
      <c r="V44" s="293" t="s">
        <v>67</v>
      </c>
      <c r="W44" s="315">
        <v>0.5</v>
      </c>
      <c r="X44" s="330">
        <v>0.5</v>
      </c>
      <c r="Y44" s="315">
        <v>0.5</v>
      </c>
      <c r="Z44" s="316">
        <v>0.5</v>
      </c>
      <c r="AA44" s="298"/>
      <c r="AB44" s="299"/>
      <c r="AC44" s="299"/>
      <c r="AD44" s="299"/>
      <c r="AE44" s="299"/>
      <c r="AF44" s="299"/>
      <c r="AG44" s="299"/>
      <c r="AH44" s="299"/>
      <c r="AI44" s="299"/>
      <c r="AJ44" s="299"/>
      <c r="AK44" s="299"/>
      <c r="AL44" s="299"/>
      <c r="AM44" s="299"/>
      <c r="AN44" s="299"/>
      <c r="AO44" s="299"/>
      <c r="AP44" s="299"/>
      <c r="AQ44" s="299"/>
      <c r="AR44" s="299"/>
      <c r="AS44" s="299"/>
      <c r="AT44" s="299"/>
      <c r="AU44" s="299"/>
      <c r="AV44" s="299"/>
      <c r="AW44" s="299"/>
      <c r="AX44" s="299"/>
      <c r="AY44" s="299"/>
      <c r="AZ44" s="299"/>
      <c r="BA44" s="299"/>
      <c r="BB44" s="299"/>
      <c r="BC44" s="300"/>
      <c r="BD44" s="301" t="s">
        <v>377</v>
      </c>
      <c r="BN44" s="14" t="s">
        <v>342</v>
      </c>
      <c r="BO44" s="355" t="s">
        <v>343</v>
      </c>
      <c r="BP44" s="15" t="s">
        <v>462</v>
      </c>
      <c r="BQ44" s="356"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7" t="s">
        <v>443</v>
      </c>
      <c r="EC44" s="308" t="s">
        <v>444</v>
      </c>
      <c r="ED44" s="309" t="s">
        <v>1241</v>
      </c>
      <c r="EE44" s="357">
        <v>5</v>
      </c>
      <c r="EF44" s="357">
        <v>5</v>
      </c>
      <c r="EG44" s="270"/>
      <c r="EH44" s="270"/>
      <c r="EI44" s="270"/>
      <c r="EJ44" s="270"/>
      <c r="EL44" s="828" t="s">
        <v>464</v>
      </c>
      <c r="EM44" s="318" t="s">
        <v>461</v>
      </c>
      <c r="EN44" s="274" t="s">
        <v>453</v>
      </c>
      <c r="EO44" s="274">
        <v>0</v>
      </c>
      <c r="EP44" s="274">
        <v>2</v>
      </c>
      <c r="EQ44" s="276">
        <v>0.5</v>
      </c>
      <c r="ER44" s="276">
        <v>0.5</v>
      </c>
      <c r="ES44" s="276">
        <v>0.5</v>
      </c>
      <c r="ET44" s="829">
        <v>0.5</v>
      </c>
    </row>
    <row r="45" spans="1:150" ht="47.25" customHeight="1" thickBot="1" x14ac:dyDescent="0.25">
      <c r="A45" s="277" t="s">
        <v>53</v>
      </c>
      <c r="B45" s="467" t="s">
        <v>54</v>
      </c>
      <c r="C45" s="468" t="s">
        <v>55</v>
      </c>
      <c r="D45" s="451"/>
      <c r="E45" s="8" t="s">
        <v>372</v>
      </c>
      <c r="F45" s="281" t="str">
        <f t="shared" si="4"/>
        <v>E1.P_B</v>
      </c>
      <c r="G45" s="469" t="s">
        <v>79</v>
      </c>
      <c r="H45" s="469" t="s">
        <v>152</v>
      </c>
      <c r="I45" s="456"/>
      <c r="J45" s="457" t="s">
        <v>212</v>
      </c>
      <c r="K45" s="373" t="str">
        <f t="shared" si="5"/>
        <v>E1.P_B.MR3</v>
      </c>
      <c r="L45" s="470" t="s">
        <v>148</v>
      </c>
      <c r="M45" s="471" t="s">
        <v>451</v>
      </c>
      <c r="N45" s="288">
        <v>0</v>
      </c>
      <c r="O45" s="288">
        <v>20</v>
      </c>
      <c r="P45" s="376" t="s">
        <v>99</v>
      </c>
      <c r="Q45" s="377" t="str">
        <f t="shared" si="6"/>
        <v>E1.P_B.MR3-MP03-1</v>
      </c>
      <c r="R45" s="420" t="s">
        <v>469</v>
      </c>
      <c r="S45" s="314" t="s">
        <v>453</v>
      </c>
      <c r="T45" s="380">
        <v>0</v>
      </c>
      <c r="U45" s="381">
        <v>2</v>
      </c>
      <c r="V45" s="380" t="s">
        <v>67</v>
      </c>
      <c r="W45" s="315">
        <v>0.5</v>
      </c>
      <c r="X45" s="330">
        <v>0.5</v>
      </c>
      <c r="Y45" s="315">
        <v>0.5</v>
      </c>
      <c r="Z45" s="316">
        <v>0.5</v>
      </c>
      <c r="AA45" s="382"/>
      <c r="AB45" s="383"/>
      <c r="AC45" s="383"/>
      <c r="AD45" s="383"/>
      <c r="AE45" s="383"/>
      <c r="AF45" s="383"/>
      <c r="AG45" s="383"/>
      <c r="AH45" s="383"/>
      <c r="AI45" s="383"/>
      <c r="AJ45" s="383"/>
      <c r="AK45" s="383"/>
      <c r="AL45" s="383"/>
      <c r="AM45" s="383"/>
      <c r="AN45" s="383"/>
      <c r="AO45" s="383"/>
      <c r="AP45" s="383"/>
      <c r="AQ45" s="383"/>
      <c r="AR45" s="383"/>
      <c r="AS45" s="383"/>
      <c r="AT45" s="383"/>
      <c r="AU45" s="383"/>
      <c r="AV45" s="383"/>
      <c r="AW45" s="383"/>
      <c r="AX45" s="383"/>
      <c r="AY45" s="383"/>
      <c r="AZ45" s="383"/>
      <c r="BA45" s="383"/>
      <c r="BB45" s="383"/>
      <c r="BC45" s="384"/>
      <c r="BD45" s="301" t="s">
        <v>377</v>
      </c>
      <c r="BN45" s="14" t="s">
        <v>353</v>
      </c>
      <c r="BO45" s="355" t="s">
        <v>354</v>
      </c>
      <c r="BP45" s="15" t="s">
        <v>470</v>
      </c>
      <c r="BQ45" s="356"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7" t="s">
        <v>454</v>
      </c>
      <c r="EC45" s="308" t="s">
        <v>455</v>
      </c>
      <c r="ED45" s="309" t="s">
        <v>1262</v>
      </c>
      <c r="EE45" s="357">
        <v>41</v>
      </c>
      <c r="EF45" s="357">
        <v>341</v>
      </c>
      <c r="EG45" s="270"/>
      <c r="EH45" s="270"/>
      <c r="EI45" s="270"/>
      <c r="EJ45" s="270"/>
      <c r="EL45" s="828" t="s">
        <v>472</v>
      </c>
      <c r="EM45" s="318" t="s">
        <v>469</v>
      </c>
      <c r="EN45" s="274" t="s">
        <v>453</v>
      </c>
      <c r="EO45" s="385">
        <v>0</v>
      </c>
      <c r="EP45" s="385">
        <v>2</v>
      </c>
      <c r="EQ45" s="276">
        <v>0.5</v>
      </c>
      <c r="ER45" s="276">
        <v>0.5</v>
      </c>
      <c r="ES45" s="276">
        <v>0.5</v>
      </c>
      <c r="ET45" s="829">
        <v>0.5</v>
      </c>
    </row>
    <row r="46" spans="1:150" ht="48.75" customHeight="1" thickBot="1" x14ac:dyDescent="0.3">
      <c r="A46" s="277" t="s">
        <v>53</v>
      </c>
      <c r="B46" s="467" t="s">
        <v>54</v>
      </c>
      <c r="C46" s="468" t="s">
        <v>55</v>
      </c>
      <c r="D46" s="451"/>
      <c r="E46" s="8" t="s">
        <v>372</v>
      </c>
      <c r="F46" s="281" t="str">
        <f t="shared" si="4"/>
        <v>E1.P_B</v>
      </c>
      <c r="G46" s="469" t="s">
        <v>79</v>
      </c>
      <c r="H46" s="469" t="s">
        <v>152</v>
      </c>
      <c r="I46" s="456"/>
      <c r="J46" s="457" t="s">
        <v>212</v>
      </c>
      <c r="K46" s="373" t="str">
        <f t="shared" si="5"/>
        <v>E1.P_B.MR3</v>
      </c>
      <c r="L46" s="470" t="s">
        <v>148</v>
      </c>
      <c r="M46" s="471" t="s">
        <v>451</v>
      </c>
      <c r="N46" s="288">
        <v>0</v>
      </c>
      <c r="O46" s="288">
        <v>20</v>
      </c>
      <c r="P46" s="376" t="s">
        <v>112</v>
      </c>
      <c r="Q46" s="377" t="str">
        <f t="shared" si="6"/>
        <v>E1.P_B.MR3-MP04-1</v>
      </c>
      <c r="R46" s="420" t="s">
        <v>477</v>
      </c>
      <c r="S46" s="314" t="s">
        <v>453</v>
      </c>
      <c r="T46" s="293">
        <v>0</v>
      </c>
      <c r="U46" s="294">
        <v>2</v>
      </c>
      <c r="V46" s="293" t="s">
        <v>67</v>
      </c>
      <c r="W46" s="315">
        <v>0.5</v>
      </c>
      <c r="X46" s="330">
        <v>0.5</v>
      </c>
      <c r="Y46" s="315">
        <v>0.5</v>
      </c>
      <c r="Z46" s="316">
        <v>0.5</v>
      </c>
      <c r="AA46" s="298"/>
      <c r="AB46" s="299"/>
      <c r="AC46" s="299"/>
      <c r="AD46" s="299"/>
      <c r="AE46" s="299"/>
      <c r="AF46" s="299"/>
      <c r="AG46" s="299"/>
      <c r="AH46" s="299"/>
      <c r="AI46" s="299"/>
      <c r="AJ46" s="299"/>
      <c r="AK46" s="299"/>
      <c r="AL46" s="299"/>
      <c r="AM46" s="299"/>
      <c r="AN46" s="299"/>
      <c r="AO46" s="299"/>
      <c r="AP46" s="299"/>
      <c r="AQ46" s="299"/>
      <c r="AR46" s="299"/>
      <c r="AS46" s="299"/>
      <c r="AT46" s="299"/>
      <c r="AU46" s="299"/>
      <c r="AV46" s="299"/>
      <c r="AW46" s="299"/>
      <c r="AX46" s="299"/>
      <c r="AY46" s="299"/>
      <c r="AZ46" s="299"/>
      <c r="BA46" s="299"/>
      <c r="BB46" s="299"/>
      <c r="BC46" s="300"/>
      <c r="BD46" s="301" t="s">
        <v>377</v>
      </c>
      <c r="BN46" s="14" t="s">
        <v>364</v>
      </c>
      <c r="BO46" s="355" t="s">
        <v>365</v>
      </c>
      <c r="BP46" s="15" t="s">
        <v>478</v>
      </c>
      <c r="BQ46" s="356"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7" t="s">
        <v>462</v>
      </c>
      <c r="EC46" s="308" t="s">
        <v>463</v>
      </c>
      <c r="ED46" s="309" t="s">
        <v>1291</v>
      </c>
      <c r="EE46" s="310">
        <v>10</v>
      </c>
      <c r="EF46" s="311">
        <v>30</v>
      </c>
      <c r="EG46" s="270"/>
      <c r="EH46" s="270"/>
      <c r="EI46" s="270"/>
      <c r="EJ46" s="270"/>
      <c r="EL46" s="828" t="s">
        <v>480</v>
      </c>
      <c r="EM46" s="318" t="s">
        <v>477</v>
      </c>
      <c r="EN46" s="274" t="s">
        <v>453</v>
      </c>
      <c r="EO46" s="274">
        <v>0</v>
      </c>
      <c r="EP46" s="274">
        <v>2</v>
      </c>
      <c r="EQ46" s="276">
        <v>0.5</v>
      </c>
      <c r="ER46" s="276">
        <v>0.5</v>
      </c>
      <c r="ES46" s="276">
        <v>0.5</v>
      </c>
      <c r="ET46" s="829">
        <v>0.5</v>
      </c>
    </row>
    <row r="47" spans="1:150" ht="51.75" customHeight="1" x14ac:dyDescent="0.25">
      <c r="A47" s="277" t="s">
        <v>53</v>
      </c>
      <c r="B47" s="467" t="s">
        <v>54</v>
      </c>
      <c r="C47" s="468" t="s">
        <v>55</v>
      </c>
      <c r="D47" s="451"/>
      <c r="E47" s="8" t="s">
        <v>372</v>
      </c>
      <c r="F47" s="281" t="str">
        <f t="shared" si="4"/>
        <v>E1.P_B</v>
      </c>
      <c r="G47" s="469" t="s">
        <v>79</v>
      </c>
      <c r="H47" s="469" t="s">
        <v>152</v>
      </c>
      <c r="I47" s="456"/>
      <c r="J47" s="457" t="s">
        <v>212</v>
      </c>
      <c r="K47" s="373" t="str">
        <f t="shared" si="5"/>
        <v>E1.P_B.MR3</v>
      </c>
      <c r="L47" s="470" t="s">
        <v>148</v>
      </c>
      <c r="M47" s="471" t="s">
        <v>451</v>
      </c>
      <c r="N47" s="288">
        <v>0</v>
      </c>
      <c r="O47" s="288">
        <v>20</v>
      </c>
      <c r="P47" s="376" t="s">
        <v>122</v>
      </c>
      <c r="Q47" s="377" t="str">
        <f t="shared" si="6"/>
        <v>E1.P_B.MR3-MP05-1</v>
      </c>
      <c r="R47" s="420" t="s">
        <v>485</v>
      </c>
      <c r="S47" s="314" t="s">
        <v>453</v>
      </c>
      <c r="T47" s="293">
        <v>0</v>
      </c>
      <c r="U47" s="294">
        <v>2</v>
      </c>
      <c r="V47" s="293" t="s">
        <v>67</v>
      </c>
      <c r="W47" s="315">
        <v>0.5</v>
      </c>
      <c r="X47" s="330">
        <v>0.5</v>
      </c>
      <c r="Y47" s="315">
        <v>0.5</v>
      </c>
      <c r="Z47" s="316">
        <v>0.5</v>
      </c>
      <c r="AA47" s="298"/>
      <c r="AB47" s="299"/>
      <c r="AC47" s="299"/>
      <c r="AD47" s="299"/>
      <c r="AE47" s="299"/>
      <c r="AF47" s="299"/>
      <c r="AG47" s="299"/>
      <c r="AH47" s="299"/>
      <c r="AI47" s="299"/>
      <c r="AJ47" s="299"/>
      <c r="AK47" s="299"/>
      <c r="AL47" s="299"/>
      <c r="AM47" s="299"/>
      <c r="AN47" s="299"/>
      <c r="AO47" s="299"/>
      <c r="AP47" s="299"/>
      <c r="AQ47" s="299"/>
      <c r="AR47" s="299"/>
      <c r="AS47" s="299"/>
      <c r="AT47" s="299"/>
      <c r="AU47" s="299"/>
      <c r="AV47" s="299"/>
      <c r="AW47" s="299"/>
      <c r="AX47" s="299"/>
      <c r="AY47" s="299"/>
      <c r="AZ47" s="299"/>
      <c r="BA47" s="299"/>
      <c r="BB47" s="299"/>
      <c r="BC47" s="300"/>
      <c r="BD47" s="301" t="s">
        <v>377</v>
      </c>
      <c r="BN47" s="20" t="s">
        <v>378</v>
      </c>
      <c r="BO47" s="472" t="s">
        <v>379</v>
      </c>
      <c r="BP47" s="6" t="s">
        <v>486</v>
      </c>
      <c r="BQ47" s="269"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7" t="s">
        <v>470</v>
      </c>
      <c r="EC47" s="308" t="s">
        <v>471</v>
      </c>
      <c r="ED47" s="309" t="s">
        <v>1304</v>
      </c>
      <c r="EE47" s="310">
        <v>100</v>
      </c>
      <c r="EF47" s="311">
        <v>100</v>
      </c>
      <c r="EG47" s="270"/>
      <c r="EH47" s="270"/>
      <c r="EI47" s="270"/>
      <c r="EJ47" s="270"/>
      <c r="EL47" s="828" t="s">
        <v>488</v>
      </c>
      <c r="EM47" s="318" t="s">
        <v>485</v>
      </c>
      <c r="EN47" s="274" t="s">
        <v>453</v>
      </c>
      <c r="EO47" s="274">
        <v>0</v>
      </c>
      <c r="EP47" s="274">
        <v>2</v>
      </c>
      <c r="EQ47" s="276">
        <v>0.5</v>
      </c>
      <c r="ER47" s="276">
        <v>0.5</v>
      </c>
      <c r="ES47" s="276">
        <v>0.5</v>
      </c>
      <c r="ET47" s="829">
        <v>0.5</v>
      </c>
    </row>
    <row r="48" spans="1:150" ht="50.25" customHeight="1" x14ac:dyDescent="0.25">
      <c r="A48" s="277" t="s">
        <v>53</v>
      </c>
      <c r="B48" s="467" t="s">
        <v>54</v>
      </c>
      <c r="C48" s="468" t="s">
        <v>55</v>
      </c>
      <c r="D48" s="451"/>
      <c r="E48" s="8" t="s">
        <v>372</v>
      </c>
      <c r="F48" s="281" t="str">
        <f t="shared" si="4"/>
        <v>E1.P_B</v>
      </c>
      <c r="G48" s="469" t="s">
        <v>79</v>
      </c>
      <c r="H48" s="469" t="s">
        <v>152</v>
      </c>
      <c r="I48" s="456"/>
      <c r="J48" s="457" t="s">
        <v>212</v>
      </c>
      <c r="K48" s="373" t="str">
        <f t="shared" si="5"/>
        <v>E1.P_B.MR3</v>
      </c>
      <c r="L48" s="470" t="s">
        <v>148</v>
      </c>
      <c r="M48" s="471" t="s">
        <v>451</v>
      </c>
      <c r="N48" s="288">
        <v>0</v>
      </c>
      <c r="O48" s="288">
        <v>20</v>
      </c>
      <c r="P48" s="376" t="s">
        <v>132</v>
      </c>
      <c r="Q48" s="377" t="str">
        <f t="shared" si="6"/>
        <v>E1.P_B.MR3-MP06-1</v>
      </c>
      <c r="R48" s="420" t="s">
        <v>493</v>
      </c>
      <c r="S48" s="314" t="s">
        <v>453</v>
      </c>
      <c r="T48" s="293">
        <v>0</v>
      </c>
      <c r="U48" s="294">
        <v>3</v>
      </c>
      <c r="V48" s="293" t="s">
        <v>67</v>
      </c>
      <c r="W48" s="321">
        <v>0.75</v>
      </c>
      <c r="X48" s="322">
        <v>0.75</v>
      </c>
      <c r="Y48" s="321">
        <v>0.75</v>
      </c>
      <c r="Z48" s="323">
        <v>0.75</v>
      </c>
      <c r="AA48" s="298"/>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300"/>
      <c r="BD48" s="301" t="s">
        <v>377</v>
      </c>
      <c r="BN48" s="10" t="s">
        <v>378</v>
      </c>
      <c r="BO48" s="305" t="s">
        <v>379</v>
      </c>
      <c r="BP48" s="11" t="s">
        <v>494</v>
      </c>
      <c r="BQ48" s="306"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7" t="s">
        <v>478</v>
      </c>
      <c r="EC48" s="308" t="s">
        <v>479</v>
      </c>
      <c r="ED48" s="309" t="s">
        <v>1338</v>
      </c>
      <c r="EE48" s="310">
        <v>0</v>
      </c>
      <c r="EF48" s="311">
        <v>23</v>
      </c>
      <c r="EG48" s="270"/>
      <c r="EH48" s="270"/>
      <c r="EI48" s="270"/>
      <c r="EJ48" s="270"/>
      <c r="EL48" s="828" t="s">
        <v>496</v>
      </c>
      <c r="EM48" s="318" t="s">
        <v>493</v>
      </c>
      <c r="EN48" s="274" t="s">
        <v>453</v>
      </c>
      <c r="EO48" s="274">
        <v>0</v>
      </c>
      <c r="EP48" s="274">
        <v>3</v>
      </c>
      <c r="EQ48" s="329">
        <v>0.75</v>
      </c>
      <c r="ER48" s="329">
        <v>0.75</v>
      </c>
      <c r="ES48" s="329">
        <v>0.75</v>
      </c>
      <c r="ET48" s="825">
        <v>0.75</v>
      </c>
    </row>
    <row r="49" spans="1:150" ht="52.5" customHeight="1" x14ac:dyDescent="0.2">
      <c r="A49" s="277" t="s">
        <v>53</v>
      </c>
      <c r="B49" s="467" t="s">
        <v>54</v>
      </c>
      <c r="C49" s="468" t="s">
        <v>55</v>
      </c>
      <c r="D49" s="451"/>
      <c r="E49" s="8" t="s">
        <v>372</v>
      </c>
      <c r="F49" s="281" t="str">
        <f t="shared" si="4"/>
        <v>E1.P_B</v>
      </c>
      <c r="G49" s="469" t="s">
        <v>79</v>
      </c>
      <c r="H49" s="469" t="s">
        <v>152</v>
      </c>
      <c r="I49" s="456"/>
      <c r="J49" s="457" t="s">
        <v>212</v>
      </c>
      <c r="K49" s="373" t="str">
        <f t="shared" si="5"/>
        <v>E1.P_B.MR3</v>
      </c>
      <c r="L49" s="470" t="s">
        <v>148</v>
      </c>
      <c r="M49" s="471" t="s">
        <v>451</v>
      </c>
      <c r="N49" s="288">
        <v>0</v>
      </c>
      <c r="O49" s="288">
        <v>20</v>
      </c>
      <c r="P49" s="376" t="s">
        <v>142</v>
      </c>
      <c r="Q49" s="377" t="str">
        <f t="shared" si="6"/>
        <v>E1.P_B.MR3-MP07-1</v>
      </c>
      <c r="R49" s="420" t="s">
        <v>501</v>
      </c>
      <c r="S49" s="314" t="s">
        <v>453</v>
      </c>
      <c r="T49" s="293">
        <v>0</v>
      </c>
      <c r="U49" s="294">
        <v>1</v>
      </c>
      <c r="V49" s="293" t="s">
        <v>67</v>
      </c>
      <c r="W49" s="321">
        <v>0.25</v>
      </c>
      <c r="X49" s="322">
        <v>0.25</v>
      </c>
      <c r="Y49" s="321">
        <v>0.25</v>
      </c>
      <c r="Z49" s="323">
        <v>0.25</v>
      </c>
      <c r="AA49" s="298"/>
      <c r="AB49" s="299"/>
      <c r="AC49" s="299"/>
      <c r="AD49" s="299"/>
      <c r="AE49" s="299"/>
      <c r="AF49" s="299"/>
      <c r="AG49" s="299"/>
      <c r="AH49" s="299"/>
      <c r="AI49" s="299"/>
      <c r="AJ49" s="299"/>
      <c r="AK49" s="299"/>
      <c r="AL49" s="299"/>
      <c r="AM49" s="299"/>
      <c r="AN49" s="299"/>
      <c r="AO49" s="299"/>
      <c r="AP49" s="299"/>
      <c r="AQ49" s="299"/>
      <c r="AR49" s="299"/>
      <c r="AS49" s="299"/>
      <c r="AT49" s="299"/>
      <c r="AU49" s="299"/>
      <c r="AV49" s="299"/>
      <c r="AW49" s="299"/>
      <c r="AX49" s="299"/>
      <c r="AY49" s="299"/>
      <c r="AZ49" s="299"/>
      <c r="BA49" s="299"/>
      <c r="BB49" s="299"/>
      <c r="BC49" s="300"/>
      <c r="BD49" s="301" t="s">
        <v>377</v>
      </c>
      <c r="BN49" s="10" t="s">
        <v>378</v>
      </c>
      <c r="BO49" s="305" t="s">
        <v>379</v>
      </c>
      <c r="BP49" s="11" t="s">
        <v>502</v>
      </c>
      <c r="BQ49" s="306"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7" t="s">
        <v>486</v>
      </c>
      <c r="EC49" s="308" t="s">
        <v>487</v>
      </c>
      <c r="ED49" s="308" t="s">
        <v>1352</v>
      </c>
      <c r="EE49" s="439" t="s">
        <v>1346</v>
      </c>
      <c r="EF49" s="473" t="s">
        <v>1347</v>
      </c>
      <c r="EG49" s="270"/>
      <c r="EH49" s="270"/>
      <c r="EI49" s="270"/>
      <c r="EJ49" s="270"/>
      <c r="EL49" s="828" t="s">
        <v>504</v>
      </c>
      <c r="EM49" s="318" t="s">
        <v>501</v>
      </c>
      <c r="EN49" s="274" t="s">
        <v>453</v>
      </c>
      <c r="EO49" s="274">
        <v>0</v>
      </c>
      <c r="EP49" s="274">
        <v>1</v>
      </c>
      <c r="EQ49" s="329">
        <v>0.25</v>
      </c>
      <c r="ER49" s="329">
        <v>0.25</v>
      </c>
      <c r="ES49" s="329">
        <v>0.25</v>
      </c>
      <c r="ET49" s="825">
        <v>0.25</v>
      </c>
    </row>
    <row r="50" spans="1:150" ht="48.75" customHeight="1" thickBot="1" x14ac:dyDescent="0.25">
      <c r="A50" s="277" t="s">
        <v>53</v>
      </c>
      <c r="B50" s="467" t="s">
        <v>54</v>
      </c>
      <c r="C50" s="468" t="s">
        <v>55</v>
      </c>
      <c r="D50" s="451"/>
      <c r="E50" s="8" t="s">
        <v>372</v>
      </c>
      <c r="F50" s="281" t="str">
        <f t="shared" si="4"/>
        <v>E1.P_B</v>
      </c>
      <c r="G50" s="469" t="s">
        <v>79</v>
      </c>
      <c r="H50" s="469" t="s">
        <v>152</v>
      </c>
      <c r="I50" s="456"/>
      <c r="J50" s="457" t="s">
        <v>212</v>
      </c>
      <c r="K50" s="373" t="str">
        <f t="shared" si="5"/>
        <v>E1.P_B.MR3</v>
      </c>
      <c r="L50" s="470" t="s">
        <v>148</v>
      </c>
      <c r="M50" s="471" t="s">
        <v>451</v>
      </c>
      <c r="N50" s="288">
        <v>0</v>
      </c>
      <c r="O50" s="288">
        <v>20</v>
      </c>
      <c r="P50" s="376" t="s">
        <v>156</v>
      </c>
      <c r="Q50" s="377" t="str">
        <f t="shared" si="6"/>
        <v>E1.P_B.MR3-MP08-1</v>
      </c>
      <c r="R50" s="420" t="s">
        <v>509</v>
      </c>
      <c r="S50" s="314" t="s">
        <v>453</v>
      </c>
      <c r="T50" s="293">
        <v>0</v>
      </c>
      <c r="U50" s="294">
        <v>2</v>
      </c>
      <c r="V50" s="293" t="s">
        <v>67</v>
      </c>
      <c r="W50" s="315">
        <v>0.5</v>
      </c>
      <c r="X50" s="330">
        <v>0.5</v>
      </c>
      <c r="Y50" s="315">
        <v>0.5</v>
      </c>
      <c r="Z50" s="316">
        <v>0.5</v>
      </c>
      <c r="AA50" s="298"/>
      <c r="AB50" s="299"/>
      <c r="AC50" s="299"/>
      <c r="AD50" s="299"/>
      <c r="AE50" s="299"/>
      <c r="AF50" s="299"/>
      <c r="AG50" s="299"/>
      <c r="AH50" s="299"/>
      <c r="AI50" s="299"/>
      <c r="AJ50" s="299"/>
      <c r="AK50" s="299"/>
      <c r="AL50" s="299"/>
      <c r="AM50" s="299"/>
      <c r="AN50" s="299"/>
      <c r="AO50" s="299"/>
      <c r="AP50" s="299"/>
      <c r="AQ50" s="299"/>
      <c r="AR50" s="299"/>
      <c r="AS50" s="299"/>
      <c r="AT50" s="299"/>
      <c r="AU50" s="299"/>
      <c r="AV50" s="299"/>
      <c r="AW50" s="299"/>
      <c r="AX50" s="299"/>
      <c r="AY50" s="299"/>
      <c r="AZ50" s="299"/>
      <c r="BA50" s="299"/>
      <c r="BB50" s="299"/>
      <c r="BC50" s="300"/>
      <c r="BD50" s="301" t="s">
        <v>377</v>
      </c>
      <c r="BN50" s="12" t="s">
        <v>378</v>
      </c>
      <c r="BO50" s="331" t="s">
        <v>379</v>
      </c>
      <c r="BP50" s="13" t="s">
        <v>510</v>
      </c>
      <c r="BQ50" s="332"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7" t="s">
        <v>494</v>
      </c>
      <c r="EC50" s="308" t="s">
        <v>495</v>
      </c>
      <c r="ED50" s="309" t="s">
        <v>1352</v>
      </c>
      <c r="EE50" s="357" t="s">
        <v>1389</v>
      </c>
      <c r="EF50" s="357" t="s">
        <v>1390</v>
      </c>
      <c r="EG50" s="270"/>
      <c r="EH50" s="270"/>
      <c r="EI50" s="270"/>
      <c r="EJ50" s="270"/>
      <c r="EL50" s="828" t="s">
        <v>512</v>
      </c>
      <c r="EM50" s="318" t="s">
        <v>509</v>
      </c>
      <c r="EN50" s="274" t="s">
        <v>453</v>
      </c>
      <c r="EO50" s="274">
        <v>0</v>
      </c>
      <c r="EP50" s="274">
        <v>2</v>
      </c>
      <c r="EQ50" s="276">
        <v>0.5</v>
      </c>
      <c r="ER50" s="276">
        <v>0.5</v>
      </c>
      <c r="ES50" s="276">
        <v>0.5</v>
      </c>
      <c r="ET50" s="829">
        <v>0.5</v>
      </c>
    </row>
    <row r="51" spans="1:150" ht="50.25" customHeight="1" x14ac:dyDescent="0.2">
      <c r="A51" s="277" t="s">
        <v>53</v>
      </c>
      <c r="B51" s="467" t="s">
        <v>54</v>
      </c>
      <c r="C51" s="468" t="s">
        <v>55</v>
      </c>
      <c r="D51" s="451"/>
      <c r="E51" s="8" t="s">
        <v>372</v>
      </c>
      <c r="F51" s="281" t="str">
        <f t="shared" si="4"/>
        <v>E1.P_B</v>
      </c>
      <c r="G51" s="469" t="s">
        <v>79</v>
      </c>
      <c r="H51" s="469" t="s">
        <v>152</v>
      </c>
      <c r="I51" s="456"/>
      <c r="J51" s="457" t="s">
        <v>212</v>
      </c>
      <c r="K51" s="373" t="str">
        <f t="shared" si="5"/>
        <v>E1.P_B.MR3</v>
      </c>
      <c r="L51" s="470" t="s">
        <v>148</v>
      </c>
      <c r="M51" s="471" t="s">
        <v>451</v>
      </c>
      <c r="N51" s="288">
        <v>0</v>
      </c>
      <c r="O51" s="288">
        <v>20</v>
      </c>
      <c r="P51" s="376" t="s">
        <v>515</v>
      </c>
      <c r="Q51" s="377" t="str">
        <f t="shared" si="6"/>
        <v>E1.P_B.MR3-MP09-1</v>
      </c>
      <c r="R51" s="420" t="s">
        <v>516</v>
      </c>
      <c r="S51" s="314" t="s">
        <v>453</v>
      </c>
      <c r="T51" s="293">
        <v>0</v>
      </c>
      <c r="U51" s="294">
        <v>3</v>
      </c>
      <c r="V51" s="293" t="s">
        <v>67</v>
      </c>
      <c r="W51" s="321">
        <v>0.75</v>
      </c>
      <c r="X51" s="322">
        <v>0.75</v>
      </c>
      <c r="Y51" s="321">
        <v>0.75</v>
      </c>
      <c r="Z51" s="323">
        <v>0.75</v>
      </c>
      <c r="AA51" s="298"/>
      <c r="AB51" s="299"/>
      <c r="AC51" s="299"/>
      <c r="AD51" s="299"/>
      <c r="AE51" s="299"/>
      <c r="AF51" s="299"/>
      <c r="AG51" s="299"/>
      <c r="AH51" s="299"/>
      <c r="AI51" s="299"/>
      <c r="AJ51" s="299"/>
      <c r="AK51" s="299"/>
      <c r="AL51" s="299"/>
      <c r="AM51" s="299"/>
      <c r="AN51" s="299"/>
      <c r="AO51" s="299"/>
      <c r="AP51" s="299"/>
      <c r="AQ51" s="299"/>
      <c r="AR51" s="299"/>
      <c r="AS51" s="299"/>
      <c r="AT51" s="299"/>
      <c r="AU51" s="299"/>
      <c r="AV51" s="299"/>
      <c r="AW51" s="299"/>
      <c r="AX51" s="299"/>
      <c r="AY51" s="299"/>
      <c r="AZ51" s="299"/>
      <c r="BA51" s="299"/>
      <c r="BB51" s="299"/>
      <c r="BC51" s="300"/>
      <c r="BD51" s="301" t="s">
        <v>377</v>
      </c>
      <c r="BN51" s="5" t="s">
        <v>390</v>
      </c>
      <c r="BO51" s="268" t="s">
        <v>391</v>
      </c>
      <c r="BP51" s="6" t="s">
        <v>517</v>
      </c>
      <c r="BQ51" s="269"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7" t="s">
        <v>502</v>
      </c>
      <c r="EC51" s="308" t="s">
        <v>503</v>
      </c>
      <c r="ED51" s="317" t="s">
        <v>1352</v>
      </c>
      <c r="EE51" s="357" t="s">
        <v>1423</v>
      </c>
      <c r="EF51" s="357" t="s">
        <v>1424</v>
      </c>
      <c r="EG51" s="270"/>
      <c r="EH51" s="270"/>
      <c r="EI51" s="270"/>
      <c r="EJ51" s="270"/>
      <c r="EL51" s="828" t="s">
        <v>519</v>
      </c>
      <c r="EM51" s="318" t="s">
        <v>516</v>
      </c>
      <c r="EN51" s="274" t="s">
        <v>453</v>
      </c>
      <c r="EO51" s="274">
        <v>0</v>
      </c>
      <c r="EP51" s="274">
        <v>3</v>
      </c>
      <c r="EQ51" s="329">
        <v>0.75</v>
      </c>
      <c r="ER51" s="329">
        <v>0.75</v>
      </c>
      <c r="ES51" s="329">
        <v>0.75</v>
      </c>
      <c r="ET51" s="825">
        <v>0.75</v>
      </c>
    </row>
    <row r="52" spans="1:150" ht="51.75" customHeight="1" thickBot="1" x14ac:dyDescent="0.25">
      <c r="A52" s="277" t="s">
        <v>53</v>
      </c>
      <c r="B52" s="467" t="s">
        <v>54</v>
      </c>
      <c r="C52" s="468" t="s">
        <v>55</v>
      </c>
      <c r="D52" s="451"/>
      <c r="E52" s="8" t="s">
        <v>372</v>
      </c>
      <c r="F52" s="281" t="str">
        <f t="shared" si="4"/>
        <v>E1.P_B</v>
      </c>
      <c r="G52" s="474" t="s">
        <v>79</v>
      </c>
      <c r="H52" s="469" t="s">
        <v>152</v>
      </c>
      <c r="I52" s="456"/>
      <c r="J52" s="457" t="s">
        <v>212</v>
      </c>
      <c r="K52" s="373" t="str">
        <f t="shared" si="5"/>
        <v>E1.P_B.MR3</v>
      </c>
      <c r="L52" s="470" t="s">
        <v>148</v>
      </c>
      <c r="M52" s="471" t="s">
        <v>451</v>
      </c>
      <c r="N52" s="426">
        <v>0</v>
      </c>
      <c r="O52" s="426">
        <v>20</v>
      </c>
      <c r="P52" s="376" t="s">
        <v>522</v>
      </c>
      <c r="Q52" s="391" t="str">
        <f t="shared" si="6"/>
        <v>E1.P_B.MR3-MP10-1</v>
      </c>
      <c r="R52" s="475" t="s">
        <v>523</v>
      </c>
      <c r="S52" s="337" t="s">
        <v>453</v>
      </c>
      <c r="T52" s="350">
        <v>0</v>
      </c>
      <c r="U52" s="351">
        <v>1</v>
      </c>
      <c r="V52" s="350" t="s">
        <v>67</v>
      </c>
      <c r="W52" s="394">
        <v>0.25</v>
      </c>
      <c r="X52" s="395">
        <v>0.25</v>
      </c>
      <c r="Y52" s="394">
        <v>0.25</v>
      </c>
      <c r="Z52" s="396">
        <v>0.25</v>
      </c>
      <c r="AA52" s="298"/>
      <c r="AB52" s="299"/>
      <c r="AC52" s="299"/>
      <c r="AD52" s="299"/>
      <c r="AE52" s="299"/>
      <c r="AF52" s="299"/>
      <c r="AG52" s="299"/>
      <c r="AH52" s="299"/>
      <c r="AI52" s="299"/>
      <c r="AJ52" s="299"/>
      <c r="AK52" s="299"/>
      <c r="AL52" s="299"/>
      <c r="AM52" s="299"/>
      <c r="AN52" s="299"/>
      <c r="AO52" s="299"/>
      <c r="AP52" s="299"/>
      <c r="AQ52" s="299"/>
      <c r="AR52" s="299"/>
      <c r="AS52" s="299"/>
      <c r="AT52" s="299"/>
      <c r="AU52" s="299"/>
      <c r="AV52" s="299"/>
      <c r="AW52" s="299"/>
      <c r="AX52" s="299"/>
      <c r="AY52" s="299"/>
      <c r="AZ52" s="299"/>
      <c r="BA52" s="299"/>
      <c r="BB52" s="299"/>
      <c r="BC52" s="300"/>
      <c r="BD52" s="301" t="s">
        <v>377</v>
      </c>
      <c r="BN52" s="10" t="s">
        <v>390</v>
      </c>
      <c r="BO52" s="305" t="s">
        <v>391</v>
      </c>
      <c r="BP52" s="11" t="s">
        <v>524</v>
      </c>
      <c r="BQ52" s="306"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7" t="s">
        <v>510</v>
      </c>
      <c r="EC52" s="308" t="s">
        <v>511</v>
      </c>
      <c r="ED52" s="309" t="s">
        <v>1437</v>
      </c>
      <c r="EE52" s="310">
        <v>0</v>
      </c>
      <c r="EF52" s="439">
        <v>4</v>
      </c>
      <c r="EG52" s="270"/>
      <c r="EH52" s="270"/>
      <c r="EI52" s="270"/>
      <c r="EJ52" s="270"/>
      <c r="EL52" s="828" t="s">
        <v>526</v>
      </c>
      <c r="EM52" s="318" t="s">
        <v>523</v>
      </c>
      <c r="EN52" s="274" t="s">
        <v>453</v>
      </c>
      <c r="EO52" s="274">
        <v>0</v>
      </c>
      <c r="EP52" s="274">
        <v>1</v>
      </c>
      <c r="EQ52" s="329">
        <v>0.25</v>
      </c>
      <c r="ER52" s="329">
        <v>0.25</v>
      </c>
      <c r="ES52" s="329">
        <v>0.25</v>
      </c>
      <c r="ET52" s="825">
        <v>0.25</v>
      </c>
    </row>
    <row r="53" spans="1:150" ht="85.5" customHeight="1" x14ac:dyDescent="0.2">
      <c r="A53" s="277" t="s">
        <v>53</v>
      </c>
      <c r="B53" s="428" t="s">
        <v>54</v>
      </c>
      <c r="C53" s="429" t="s">
        <v>55</v>
      </c>
      <c r="D53" s="430" t="s">
        <v>529</v>
      </c>
      <c r="E53" s="3" t="s">
        <v>530</v>
      </c>
      <c r="F53" s="431" t="str">
        <f t="shared" si="4"/>
        <v>E1.P_C</v>
      </c>
      <c r="G53" s="476" t="s">
        <v>93</v>
      </c>
      <c r="H53" s="477" t="s">
        <v>187</v>
      </c>
      <c r="I53" s="811" t="s">
        <v>531</v>
      </c>
      <c r="J53" s="454" t="s">
        <v>61</v>
      </c>
      <c r="K53" s="455" t="str">
        <f t="shared" si="5"/>
        <v>E1.P_C.MR1</v>
      </c>
      <c r="L53" s="478" t="s">
        <v>162</v>
      </c>
      <c r="M53" s="361" t="s">
        <v>532</v>
      </c>
      <c r="N53" s="247">
        <v>3630</v>
      </c>
      <c r="O53" s="479">
        <v>3700</v>
      </c>
      <c r="P53" s="480" t="s">
        <v>64</v>
      </c>
      <c r="Q53" s="481" t="str">
        <f t="shared" si="6"/>
        <v>E1.P_C.MR1-MP01-1</v>
      </c>
      <c r="R53" s="416" t="s">
        <v>533</v>
      </c>
      <c r="S53" s="367" t="s">
        <v>534</v>
      </c>
      <c r="T53" s="482">
        <v>24</v>
      </c>
      <c r="U53" s="483">
        <v>34</v>
      </c>
      <c r="V53" s="482" t="s">
        <v>67</v>
      </c>
      <c r="W53" s="484">
        <v>34</v>
      </c>
      <c r="X53" s="485">
        <v>34</v>
      </c>
      <c r="Y53" s="484">
        <v>34</v>
      </c>
      <c r="Z53" s="486">
        <v>34</v>
      </c>
      <c r="AA53" s="436">
        <f>393837000+6500000+150000000+90000000+50000000+1406163000+500000000+200000000+30000000+293500000+300000000+150000000+90000000+156323606+25632360+74367640+75820050+39314100+28081500+137599350-815386000-1503599242</f>
        <v>1878153364</v>
      </c>
      <c r="AB53" s="437">
        <f>109719509+71256+824878270</f>
        <v>934669035</v>
      </c>
      <c r="AC53" s="437">
        <v>200000000</v>
      </c>
      <c r="AD53" s="437"/>
      <c r="AE53" s="437"/>
      <c r="AF53" s="437">
        <v>37177601</v>
      </c>
      <c r="AG53" s="437">
        <f t="shared" ref="AG53" si="14">SUM(AA53:AF53)</f>
        <v>3050000000</v>
      </c>
      <c r="AH53" s="437">
        <f t="shared" ref="AH53:AJ53" si="15">+AA53</f>
        <v>1878153364</v>
      </c>
      <c r="AI53" s="437">
        <f t="shared" si="15"/>
        <v>934669035</v>
      </c>
      <c r="AJ53" s="437">
        <f t="shared" si="15"/>
        <v>200000000</v>
      </c>
      <c r="AK53" s="437">
        <v>0</v>
      </c>
      <c r="AL53" s="437">
        <f t="shared" ref="AL53:AT53" si="16">+AE53</f>
        <v>0</v>
      </c>
      <c r="AM53" s="437">
        <f t="shared" si="16"/>
        <v>37177601</v>
      </c>
      <c r="AN53" s="437">
        <f t="shared" si="16"/>
        <v>3050000000</v>
      </c>
      <c r="AO53" s="437">
        <f t="shared" si="16"/>
        <v>1878153364</v>
      </c>
      <c r="AP53" s="437">
        <f t="shared" si="16"/>
        <v>934669035</v>
      </c>
      <c r="AQ53" s="437">
        <f t="shared" si="16"/>
        <v>200000000</v>
      </c>
      <c r="AR53" s="437">
        <v>0</v>
      </c>
      <c r="AS53" s="437">
        <f t="shared" si="16"/>
        <v>0</v>
      </c>
      <c r="AT53" s="437">
        <f t="shared" si="16"/>
        <v>37177601</v>
      </c>
      <c r="AU53" s="437">
        <f t="shared" ref="AU53" si="17">SUM(AO53:AT53)</f>
        <v>3050000000</v>
      </c>
      <c r="AV53" s="437">
        <f>+AO53</f>
        <v>1878153364</v>
      </c>
      <c r="AW53" s="437">
        <f t="shared" ref="AW53:BA53" si="18">+AP53</f>
        <v>934669035</v>
      </c>
      <c r="AX53" s="437">
        <f t="shared" si="18"/>
        <v>200000000</v>
      </c>
      <c r="AY53" s="437">
        <v>0</v>
      </c>
      <c r="AZ53" s="437">
        <f t="shared" si="18"/>
        <v>0</v>
      </c>
      <c r="BA53" s="437">
        <f t="shared" si="18"/>
        <v>37177601</v>
      </c>
      <c r="BB53" s="437">
        <f t="shared" ref="BB53" si="19">SUM(AV53:BA53)</f>
        <v>3050000000</v>
      </c>
      <c r="BC53" s="438">
        <f t="shared" ref="BC53" si="20">+BB53+AU53+AN53+AG53</f>
        <v>12200000000</v>
      </c>
      <c r="BD53" s="487" t="s">
        <v>535</v>
      </c>
      <c r="BN53" s="10" t="s">
        <v>390</v>
      </c>
      <c r="BO53" s="305" t="s">
        <v>391</v>
      </c>
      <c r="BP53" s="11" t="s">
        <v>536</v>
      </c>
      <c r="BQ53" s="306"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7" t="s">
        <v>517</v>
      </c>
      <c r="EC53" s="308" t="s">
        <v>518</v>
      </c>
      <c r="ED53" s="309" t="s">
        <v>1455</v>
      </c>
      <c r="EE53" s="439">
        <v>635</v>
      </c>
      <c r="EF53" s="439">
        <v>571</v>
      </c>
      <c r="EG53" s="270"/>
      <c r="EH53" s="270"/>
      <c r="EI53" s="270"/>
      <c r="EJ53" s="270"/>
      <c r="EL53" s="834" t="s">
        <v>538</v>
      </c>
      <c r="EM53" s="318" t="s">
        <v>533</v>
      </c>
      <c r="EN53" s="274" t="s">
        <v>534</v>
      </c>
      <c r="EO53" s="385">
        <v>24</v>
      </c>
      <c r="EP53" s="385">
        <v>34</v>
      </c>
      <c r="EQ53" s="488">
        <v>34</v>
      </c>
      <c r="ER53" s="488">
        <v>34</v>
      </c>
      <c r="ES53" s="488">
        <v>34</v>
      </c>
      <c r="ET53" s="835">
        <v>34</v>
      </c>
    </row>
    <row r="54" spans="1:150" ht="51.75" customHeight="1" thickBot="1" x14ac:dyDescent="0.25">
      <c r="A54" s="277" t="s">
        <v>53</v>
      </c>
      <c r="B54" s="428" t="s">
        <v>54</v>
      </c>
      <c r="C54" s="429" t="s">
        <v>55</v>
      </c>
      <c r="D54" s="429"/>
      <c r="E54" s="8" t="s">
        <v>530</v>
      </c>
      <c r="F54" s="281" t="str">
        <f t="shared" si="4"/>
        <v>E1.P_C</v>
      </c>
      <c r="G54" s="489" t="s">
        <v>93</v>
      </c>
      <c r="H54" s="489" t="s">
        <v>187</v>
      </c>
      <c r="I54" s="283"/>
      <c r="J54" s="457" t="s">
        <v>61</v>
      </c>
      <c r="K54" s="373" t="str">
        <f t="shared" si="5"/>
        <v>E1.P_C.MR1</v>
      </c>
      <c r="L54" s="490" t="s">
        <v>162</v>
      </c>
      <c r="M54" s="490" t="s">
        <v>532</v>
      </c>
      <c r="N54" s="288">
        <v>3630</v>
      </c>
      <c r="O54" s="491">
        <v>3700</v>
      </c>
      <c r="P54" s="480" t="s">
        <v>87</v>
      </c>
      <c r="Q54" s="492" t="str">
        <f t="shared" si="6"/>
        <v>E1.P_C.MR1-MP02-1</v>
      </c>
      <c r="R54" s="420" t="s">
        <v>544</v>
      </c>
      <c r="S54" s="314" t="s">
        <v>545</v>
      </c>
      <c r="T54" s="293">
        <v>3</v>
      </c>
      <c r="U54" s="294">
        <v>5</v>
      </c>
      <c r="V54" s="293" t="s">
        <v>67</v>
      </c>
      <c r="W54" s="295">
        <v>0</v>
      </c>
      <c r="X54" s="296">
        <v>2</v>
      </c>
      <c r="Y54" s="295">
        <v>1</v>
      </c>
      <c r="Z54" s="297">
        <v>1</v>
      </c>
      <c r="AA54" s="298"/>
      <c r="AB54" s="299"/>
      <c r="AC54" s="299"/>
      <c r="AD54" s="299"/>
      <c r="AE54" s="299"/>
      <c r="AF54" s="299"/>
      <c r="AG54" s="299"/>
      <c r="AH54" s="299"/>
      <c r="AI54" s="299"/>
      <c r="AJ54" s="299"/>
      <c r="AK54" s="299"/>
      <c r="AL54" s="299"/>
      <c r="AM54" s="299"/>
      <c r="AN54" s="299"/>
      <c r="AO54" s="299"/>
      <c r="AP54" s="299"/>
      <c r="AQ54" s="299"/>
      <c r="AR54" s="299"/>
      <c r="AS54" s="299"/>
      <c r="AT54" s="299"/>
      <c r="AU54" s="299"/>
      <c r="AV54" s="299"/>
      <c r="AW54" s="299"/>
      <c r="AX54" s="299"/>
      <c r="AY54" s="299"/>
      <c r="AZ54" s="299"/>
      <c r="BA54" s="299"/>
      <c r="BB54" s="299"/>
      <c r="BC54" s="300"/>
      <c r="BD54" s="301" t="s">
        <v>535</v>
      </c>
      <c r="BN54" s="12" t="s">
        <v>390</v>
      </c>
      <c r="BO54" s="331" t="s">
        <v>391</v>
      </c>
      <c r="BP54" s="13" t="s">
        <v>546</v>
      </c>
      <c r="BQ54" s="332"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7" t="s">
        <v>524</v>
      </c>
      <c r="EC54" s="308" t="s">
        <v>525</v>
      </c>
      <c r="ED54" s="309" t="s">
        <v>1486</v>
      </c>
      <c r="EE54" s="357">
        <v>277</v>
      </c>
      <c r="EF54" s="357">
        <v>249</v>
      </c>
      <c r="EG54" s="270"/>
      <c r="EH54" s="270"/>
      <c r="EI54" s="270"/>
      <c r="EJ54" s="270"/>
      <c r="EL54" s="834" t="s">
        <v>548</v>
      </c>
      <c r="EM54" s="318" t="s">
        <v>544</v>
      </c>
      <c r="EN54" s="274" t="s">
        <v>545</v>
      </c>
      <c r="EO54" s="274">
        <v>3</v>
      </c>
      <c r="EP54" s="274">
        <v>5</v>
      </c>
      <c r="EQ54" s="806">
        <v>0</v>
      </c>
      <c r="ER54" s="814">
        <v>0</v>
      </c>
      <c r="ES54" s="814">
        <v>1</v>
      </c>
      <c r="ET54" s="836">
        <v>1</v>
      </c>
    </row>
    <row r="55" spans="1:150" ht="63" customHeight="1" thickBot="1" x14ac:dyDescent="0.3">
      <c r="A55" s="277" t="s">
        <v>53</v>
      </c>
      <c r="B55" s="428" t="s">
        <v>54</v>
      </c>
      <c r="C55" s="429" t="s">
        <v>55</v>
      </c>
      <c r="D55" s="429"/>
      <c r="E55" s="8" t="s">
        <v>530</v>
      </c>
      <c r="F55" s="281" t="str">
        <f t="shared" si="4"/>
        <v>E1.P_C</v>
      </c>
      <c r="G55" s="489" t="s">
        <v>93</v>
      </c>
      <c r="H55" s="489" t="s">
        <v>187</v>
      </c>
      <c r="I55" s="283"/>
      <c r="J55" s="457" t="s">
        <v>61</v>
      </c>
      <c r="K55" s="373" t="str">
        <f t="shared" si="5"/>
        <v>E1.P_C.MR1</v>
      </c>
      <c r="L55" s="490" t="s">
        <v>162</v>
      </c>
      <c r="M55" s="490" t="s">
        <v>532</v>
      </c>
      <c r="N55" s="288">
        <v>3630</v>
      </c>
      <c r="O55" s="491">
        <v>3700</v>
      </c>
      <c r="P55" s="480" t="s">
        <v>99</v>
      </c>
      <c r="Q55" s="492" t="str">
        <f t="shared" si="6"/>
        <v>E1.P_C.MR1-MP03-1</v>
      </c>
      <c r="R55" s="420" t="s">
        <v>551</v>
      </c>
      <c r="S55" s="314" t="s">
        <v>552</v>
      </c>
      <c r="T55" s="293">
        <v>62</v>
      </c>
      <c r="U55" s="294">
        <v>120</v>
      </c>
      <c r="V55" s="293" t="s">
        <v>67</v>
      </c>
      <c r="W55" s="295">
        <v>30</v>
      </c>
      <c r="X55" s="296">
        <v>30</v>
      </c>
      <c r="Y55" s="295">
        <v>30</v>
      </c>
      <c r="Z55" s="297">
        <v>30</v>
      </c>
      <c r="AA55" s="298"/>
      <c r="AB55" s="299"/>
      <c r="AC55" s="299"/>
      <c r="AD55" s="299"/>
      <c r="AE55" s="299"/>
      <c r="AF55" s="299"/>
      <c r="AG55" s="299"/>
      <c r="AH55" s="299"/>
      <c r="AI55" s="299"/>
      <c r="AJ55" s="299"/>
      <c r="AK55" s="299"/>
      <c r="AL55" s="299"/>
      <c r="AM55" s="299"/>
      <c r="AN55" s="299"/>
      <c r="AO55" s="299"/>
      <c r="AP55" s="299"/>
      <c r="AQ55" s="299"/>
      <c r="AR55" s="299"/>
      <c r="AS55" s="299"/>
      <c r="AT55" s="299"/>
      <c r="AU55" s="299"/>
      <c r="AV55" s="299"/>
      <c r="AW55" s="299"/>
      <c r="AX55" s="299"/>
      <c r="AY55" s="299"/>
      <c r="AZ55" s="299"/>
      <c r="BA55" s="299"/>
      <c r="BB55" s="299"/>
      <c r="BC55" s="300"/>
      <c r="BD55" s="301" t="s">
        <v>535</v>
      </c>
      <c r="BN55" s="14" t="s">
        <v>401</v>
      </c>
      <c r="BO55" s="355" t="s">
        <v>402</v>
      </c>
      <c r="BP55" s="15" t="s">
        <v>553</v>
      </c>
      <c r="BQ55" s="356"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7" t="s">
        <v>536</v>
      </c>
      <c r="EC55" s="308" t="s">
        <v>537</v>
      </c>
      <c r="ED55" s="309" t="s">
        <v>1512</v>
      </c>
      <c r="EE55" s="493">
        <v>4.9000000000000004</v>
      </c>
      <c r="EF55" s="311">
        <v>5</v>
      </c>
      <c r="EG55" s="270"/>
      <c r="EH55" s="270"/>
      <c r="EI55" s="270"/>
      <c r="EJ55" s="270"/>
      <c r="EL55" s="834" t="s">
        <v>555</v>
      </c>
      <c r="EM55" s="318" t="s">
        <v>551</v>
      </c>
      <c r="EN55" s="274" t="s">
        <v>552</v>
      </c>
      <c r="EO55" s="274">
        <v>62</v>
      </c>
      <c r="EP55" s="274">
        <v>120</v>
      </c>
      <c r="EQ55" s="806">
        <v>30</v>
      </c>
      <c r="ER55" s="806">
        <v>30</v>
      </c>
      <c r="ES55" s="806">
        <v>30</v>
      </c>
      <c r="ET55" s="836">
        <v>30</v>
      </c>
    </row>
    <row r="56" spans="1:150" ht="63.75" customHeight="1" thickBot="1" x14ac:dyDescent="0.25">
      <c r="A56" s="277" t="s">
        <v>53</v>
      </c>
      <c r="B56" s="428" t="s">
        <v>54</v>
      </c>
      <c r="C56" s="429" t="s">
        <v>55</v>
      </c>
      <c r="D56" s="429"/>
      <c r="E56" s="8" t="s">
        <v>530</v>
      </c>
      <c r="F56" s="281" t="str">
        <f t="shared" si="4"/>
        <v>E1.P_C</v>
      </c>
      <c r="G56" s="489" t="s">
        <v>93</v>
      </c>
      <c r="H56" s="489" t="s">
        <v>187</v>
      </c>
      <c r="I56" s="283"/>
      <c r="J56" s="457" t="s">
        <v>61</v>
      </c>
      <c r="K56" s="373" t="str">
        <f t="shared" si="5"/>
        <v>E1.P_C.MR1</v>
      </c>
      <c r="L56" s="490" t="s">
        <v>162</v>
      </c>
      <c r="M56" s="490" t="s">
        <v>532</v>
      </c>
      <c r="N56" s="288">
        <v>3630</v>
      </c>
      <c r="O56" s="491">
        <v>3700</v>
      </c>
      <c r="P56" s="480" t="s">
        <v>112</v>
      </c>
      <c r="Q56" s="492" t="str">
        <f t="shared" si="6"/>
        <v>E1.P_C.MR1-MP04-1</v>
      </c>
      <c r="R56" s="420" t="s">
        <v>558</v>
      </c>
      <c r="S56" s="314" t="s">
        <v>559</v>
      </c>
      <c r="T56" s="293">
        <v>5</v>
      </c>
      <c r="U56" s="294">
        <v>5</v>
      </c>
      <c r="V56" s="293" t="s">
        <v>102</v>
      </c>
      <c r="W56" s="295">
        <v>5</v>
      </c>
      <c r="X56" s="296">
        <v>5</v>
      </c>
      <c r="Y56" s="295">
        <v>15</v>
      </c>
      <c r="Z56" s="297">
        <v>10</v>
      </c>
      <c r="AA56" s="298"/>
      <c r="AB56" s="299"/>
      <c r="AC56" s="299"/>
      <c r="AD56" s="299"/>
      <c r="AE56" s="299"/>
      <c r="AF56" s="299"/>
      <c r="AG56" s="299"/>
      <c r="AH56" s="299"/>
      <c r="AI56" s="299"/>
      <c r="AJ56" s="299"/>
      <c r="AK56" s="299"/>
      <c r="AL56" s="299"/>
      <c r="AM56" s="299"/>
      <c r="AN56" s="299"/>
      <c r="AO56" s="299"/>
      <c r="AP56" s="299"/>
      <c r="AQ56" s="299"/>
      <c r="AR56" s="299"/>
      <c r="AS56" s="299"/>
      <c r="AT56" s="299"/>
      <c r="AU56" s="299"/>
      <c r="AV56" s="299"/>
      <c r="AW56" s="299"/>
      <c r="AX56" s="299"/>
      <c r="AY56" s="299"/>
      <c r="AZ56" s="299"/>
      <c r="BA56" s="299"/>
      <c r="BB56" s="299"/>
      <c r="BC56" s="300"/>
      <c r="BD56" s="301" t="s">
        <v>535</v>
      </c>
      <c r="BN56" s="14" t="s">
        <v>412</v>
      </c>
      <c r="BO56" s="355" t="s">
        <v>413</v>
      </c>
      <c r="BP56" s="15" t="s">
        <v>560</v>
      </c>
      <c r="BQ56" s="356"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7" t="s">
        <v>546</v>
      </c>
      <c r="EC56" s="308" t="s">
        <v>547</v>
      </c>
      <c r="ED56" s="309" t="s">
        <v>1525</v>
      </c>
      <c r="EE56" s="439">
        <v>7357</v>
      </c>
      <c r="EF56" s="439">
        <v>11035</v>
      </c>
      <c r="EG56" s="270"/>
      <c r="EH56" s="270"/>
      <c r="EI56" s="270"/>
      <c r="EJ56" s="270"/>
      <c r="EL56" s="834" t="s">
        <v>562</v>
      </c>
      <c r="EM56" s="318" t="s">
        <v>558</v>
      </c>
      <c r="EN56" s="274" t="s">
        <v>559</v>
      </c>
      <c r="EO56" s="274">
        <v>5</v>
      </c>
      <c r="EP56" s="274">
        <v>5</v>
      </c>
      <c r="EQ56" s="806">
        <v>5</v>
      </c>
      <c r="ER56" s="806">
        <v>5</v>
      </c>
      <c r="ES56" s="806">
        <v>5</v>
      </c>
      <c r="ET56" s="836">
        <v>5</v>
      </c>
    </row>
    <row r="57" spans="1:150" ht="90" customHeight="1" x14ac:dyDescent="0.2">
      <c r="A57" s="277" t="s">
        <v>53</v>
      </c>
      <c r="B57" s="428" t="s">
        <v>54</v>
      </c>
      <c r="C57" s="429" t="s">
        <v>55</v>
      </c>
      <c r="D57" s="429"/>
      <c r="E57" s="8" t="s">
        <v>530</v>
      </c>
      <c r="F57" s="281" t="str">
        <f t="shared" si="4"/>
        <v>E1.P_C</v>
      </c>
      <c r="G57" s="489" t="s">
        <v>93</v>
      </c>
      <c r="H57" s="489" t="s">
        <v>187</v>
      </c>
      <c r="I57" s="283"/>
      <c r="J57" s="457" t="s">
        <v>61</v>
      </c>
      <c r="K57" s="373" t="str">
        <f t="shared" si="5"/>
        <v>E1.P_C.MR1</v>
      </c>
      <c r="L57" s="490" t="s">
        <v>162</v>
      </c>
      <c r="M57" s="490" t="s">
        <v>532</v>
      </c>
      <c r="N57" s="288">
        <v>3630</v>
      </c>
      <c r="O57" s="491">
        <v>3700</v>
      </c>
      <c r="P57" s="480" t="s">
        <v>122</v>
      </c>
      <c r="Q57" s="492" t="str">
        <f t="shared" si="6"/>
        <v>E1.P_C.MR1-MP05-1</v>
      </c>
      <c r="R57" s="420" t="s">
        <v>565</v>
      </c>
      <c r="S57" s="314" t="s">
        <v>566</v>
      </c>
      <c r="T57" s="293">
        <v>126</v>
      </c>
      <c r="U57" s="294">
        <v>126</v>
      </c>
      <c r="V57" s="293" t="s">
        <v>102</v>
      </c>
      <c r="W57" s="295">
        <v>126</v>
      </c>
      <c r="X57" s="296">
        <v>126</v>
      </c>
      <c r="Y57" s="295">
        <v>126</v>
      </c>
      <c r="Z57" s="297">
        <v>126</v>
      </c>
      <c r="AA57" s="298"/>
      <c r="AB57" s="299"/>
      <c r="AC57" s="299"/>
      <c r="AD57" s="299"/>
      <c r="AE57" s="299"/>
      <c r="AF57" s="299"/>
      <c r="AG57" s="299"/>
      <c r="AH57" s="299"/>
      <c r="AI57" s="299"/>
      <c r="AJ57" s="299"/>
      <c r="AK57" s="299"/>
      <c r="AL57" s="299"/>
      <c r="AM57" s="299"/>
      <c r="AN57" s="299"/>
      <c r="AO57" s="299"/>
      <c r="AP57" s="299"/>
      <c r="AQ57" s="299"/>
      <c r="AR57" s="299"/>
      <c r="AS57" s="299"/>
      <c r="AT57" s="299"/>
      <c r="AU57" s="299"/>
      <c r="AV57" s="299"/>
      <c r="AW57" s="299"/>
      <c r="AX57" s="299"/>
      <c r="AY57" s="299"/>
      <c r="AZ57" s="299"/>
      <c r="BA57" s="299"/>
      <c r="BB57" s="299"/>
      <c r="BC57" s="300"/>
      <c r="BD57" s="301" t="s">
        <v>535</v>
      </c>
      <c r="BN57" s="5" t="s">
        <v>423</v>
      </c>
      <c r="BO57" s="268" t="s">
        <v>424</v>
      </c>
      <c r="BP57" s="6" t="s">
        <v>567</v>
      </c>
      <c r="BQ57" s="269"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7" t="s">
        <v>553</v>
      </c>
      <c r="EC57" s="308" t="s">
        <v>554</v>
      </c>
      <c r="ED57" s="309" t="s">
        <v>1539</v>
      </c>
      <c r="EE57" s="357">
        <v>4</v>
      </c>
      <c r="EF57" s="357">
        <v>6</v>
      </c>
      <c r="EG57" s="270"/>
      <c r="EH57" s="270"/>
      <c r="EI57" s="270"/>
      <c r="EJ57" s="270"/>
      <c r="EL57" s="834" t="s">
        <v>569</v>
      </c>
      <c r="EM57" s="318" t="s">
        <v>565</v>
      </c>
      <c r="EN57" s="274" t="s">
        <v>566</v>
      </c>
      <c r="EO57" s="274">
        <v>126</v>
      </c>
      <c r="EP57" s="274">
        <v>126</v>
      </c>
      <c r="EQ57" s="275">
        <v>126</v>
      </c>
      <c r="ER57" s="275">
        <v>126</v>
      </c>
      <c r="ES57" s="275">
        <v>126</v>
      </c>
      <c r="ET57" s="826">
        <v>126</v>
      </c>
    </row>
    <row r="58" spans="1:150" ht="89.25" customHeight="1" x14ac:dyDescent="0.2">
      <c r="A58" s="277" t="s">
        <v>53</v>
      </c>
      <c r="B58" s="428" t="s">
        <v>54</v>
      </c>
      <c r="C58" s="429" t="s">
        <v>55</v>
      </c>
      <c r="D58" s="429"/>
      <c r="E58" s="8" t="s">
        <v>530</v>
      </c>
      <c r="F58" s="281" t="str">
        <f t="shared" si="4"/>
        <v>E1.P_C</v>
      </c>
      <c r="G58" s="489" t="s">
        <v>93</v>
      </c>
      <c r="H58" s="489" t="s">
        <v>187</v>
      </c>
      <c r="I58" s="283"/>
      <c r="J58" s="457" t="s">
        <v>61</v>
      </c>
      <c r="K58" s="373" t="str">
        <f t="shared" si="5"/>
        <v>E1.P_C.MR1</v>
      </c>
      <c r="L58" s="490" t="s">
        <v>162</v>
      </c>
      <c r="M58" s="490" t="s">
        <v>532</v>
      </c>
      <c r="N58" s="288">
        <v>3630</v>
      </c>
      <c r="O58" s="491">
        <v>3700</v>
      </c>
      <c r="P58" s="480" t="s">
        <v>132</v>
      </c>
      <c r="Q58" s="492" t="str">
        <f t="shared" si="6"/>
        <v>E1.P_C.MR1-MP06-1</v>
      </c>
      <c r="R58" s="420" t="s">
        <v>574</v>
      </c>
      <c r="S58" s="314" t="s">
        <v>575</v>
      </c>
      <c r="T58" s="293">
        <v>0</v>
      </c>
      <c r="U58" s="294">
        <v>25</v>
      </c>
      <c r="V58" s="293" t="s">
        <v>67</v>
      </c>
      <c r="W58" s="295">
        <v>0</v>
      </c>
      <c r="X58" s="296">
        <v>0</v>
      </c>
      <c r="Y58" s="295">
        <v>15</v>
      </c>
      <c r="Z58" s="297">
        <v>10</v>
      </c>
      <c r="AA58" s="298"/>
      <c r="AB58" s="299"/>
      <c r="AC58" s="299"/>
      <c r="AD58" s="299"/>
      <c r="AE58" s="299"/>
      <c r="AF58" s="299"/>
      <c r="AG58" s="299"/>
      <c r="AH58" s="299"/>
      <c r="AI58" s="299"/>
      <c r="AJ58" s="299"/>
      <c r="AK58" s="299"/>
      <c r="AL58" s="299"/>
      <c r="AM58" s="299"/>
      <c r="AN58" s="299"/>
      <c r="AO58" s="299"/>
      <c r="AP58" s="299"/>
      <c r="AQ58" s="299"/>
      <c r="AR58" s="299"/>
      <c r="AS58" s="299"/>
      <c r="AT58" s="299"/>
      <c r="AU58" s="299"/>
      <c r="AV58" s="299"/>
      <c r="AW58" s="299"/>
      <c r="AX58" s="299"/>
      <c r="AY58" s="299"/>
      <c r="AZ58" s="299"/>
      <c r="BA58" s="299"/>
      <c r="BB58" s="299"/>
      <c r="BC58" s="300"/>
      <c r="BD58" s="301" t="s">
        <v>535</v>
      </c>
      <c r="BN58" s="10" t="s">
        <v>423</v>
      </c>
      <c r="BO58" s="305" t="s">
        <v>424</v>
      </c>
      <c r="BP58" s="11" t="s">
        <v>576</v>
      </c>
      <c r="BQ58" s="306"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7" t="s">
        <v>560</v>
      </c>
      <c r="EC58" s="308" t="s">
        <v>561</v>
      </c>
      <c r="ED58" s="309" t="s">
        <v>1565</v>
      </c>
      <c r="EE58" s="357">
        <v>13959</v>
      </c>
      <c r="EF58" s="357">
        <v>15355</v>
      </c>
      <c r="EG58" s="270"/>
      <c r="EH58" s="270"/>
      <c r="EI58" s="270"/>
      <c r="EJ58" s="270"/>
      <c r="EL58" s="834" t="s">
        <v>578</v>
      </c>
      <c r="EM58" s="318" t="s">
        <v>574</v>
      </c>
      <c r="EN58" s="274" t="s">
        <v>575</v>
      </c>
      <c r="EO58" s="274">
        <v>0</v>
      </c>
      <c r="EP58" s="274">
        <v>25</v>
      </c>
      <c r="EQ58" s="275">
        <v>0</v>
      </c>
      <c r="ER58" s="275">
        <v>0</v>
      </c>
      <c r="ES58" s="814">
        <v>12</v>
      </c>
      <c r="ET58" s="830">
        <v>13</v>
      </c>
    </row>
    <row r="59" spans="1:150" ht="71.25" customHeight="1" thickBot="1" x14ac:dyDescent="0.25">
      <c r="A59" s="277" t="s">
        <v>53</v>
      </c>
      <c r="B59" s="428" t="s">
        <v>54</v>
      </c>
      <c r="C59" s="429" t="s">
        <v>55</v>
      </c>
      <c r="D59" s="429"/>
      <c r="E59" s="8" t="s">
        <v>530</v>
      </c>
      <c r="F59" s="281" t="str">
        <f t="shared" si="4"/>
        <v>E1.P_C</v>
      </c>
      <c r="G59" s="489" t="s">
        <v>93</v>
      </c>
      <c r="H59" s="489" t="s">
        <v>187</v>
      </c>
      <c r="I59" s="283"/>
      <c r="J59" s="457" t="s">
        <v>61</v>
      </c>
      <c r="K59" s="373" t="str">
        <f t="shared" si="5"/>
        <v>E1.P_C.MR1</v>
      </c>
      <c r="L59" s="490" t="s">
        <v>162</v>
      </c>
      <c r="M59" s="490" t="s">
        <v>532</v>
      </c>
      <c r="N59" s="288">
        <v>3630</v>
      </c>
      <c r="O59" s="491">
        <v>3700</v>
      </c>
      <c r="P59" s="480" t="s">
        <v>142</v>
      </c>
      <c r="Q59" s="492" t="str">
        <f t="shared" si="6"/>
        <v>E1.P_C.MR1-MP07-1</v>
      </c>
      <c r="R59" s="420" t="s">
        <v>583</v>
      </c>
      <c r="S59" s="314" t="s">
        <v>532</v>
      </c>
      <c r="T59" s="380">
        <v>3630</v>
      </c>
      <c r="U59" s="381">
        <v>3700</v>
      </c>
      <c r="V59" s="380" t="s">
        <v>67</v>
      </c>
      <c r="W59" s="295">
        <v>3200</v>
      </c>
      <c r="X59" s="296">
        <v>3300</v>
      </c>
      <c r="Y59" s="295">
        <v>3400</v>
      </c>
      <c r="Z59" s="297">
        <v>3700</v>
      </c>
      <c r="AA59" s="382"/>
      <c r="AB59" s="383"/>
      <c r="AC59" s="383"/>
      <c r="AD59" s="383"/>
      <c r="AE59" s="383"/>
      <c r="AF59" s="383"/>
      <c r="AG59" s="383"/>
      <c r="AH59" s="383"/>
      <c r="AI59" s="383"/>
      <c r="AJ59" s="383"/>
      <c r="AK59" s="383"/>
      <c r="AL59" s="383"/>
      <c r="AM59" s="383"/>
      <c r="AN59" s="383"/>
      <c r="AO59" s="383"/>
      <c r="AP59" s="383"/>
      <c r="AQ59" s="383"/>
      <c r="AR59" s="383"/>
      <c r="AS59" s="383"/>
      <c r="AT59" s="383"/>
      <c r="AU59" s="383"/>
      <c r="AV59" s="383"/>
      <c r="AW59" s="383"/>
      <c r="AX59" s="383"/>
      <c r="AY59" s="383"/>
      <c r="AZ59" s="383"/>
      <c r="BA59" s="383"/>
      <c r="BB59" s="383"/>
      <c r="BC59" s="384"/>
      <c r="BD59" s="301" t="s">
        <v>535</v>
      </c>
      <c r="BN59" s="12" t="s">
        <v>423</v>
      </c>
      <c r="BO59" s="331" t="s">
        <v>424</v>
      </c>
      <c r="BP59" s="13" t="s">
        <v>584</v>
      </c>
      <c r="BQ59" s="332"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7" t="s">
        <v>567</v>
      </c>
      <c r="EC59" s="308" t="s">
        <v>568</v>
      </c>
      <c r="ED59" s="309" t="s">
        <v>1575</v>
      </c>
      <c r="EE59" s="439">
        <v>1</v>
      </c>
      <c r="EF59" s="439">
        <v>4</v>
      </c>
      <c r="EG59" s="270"/>
      <c r="EH59" s="270"/>
      <c r="EI59" s="270"/>
      <c r="EJ59" s="270"/>
      <c r="EL59" s="834" t="s">
        <v>586</v>
      </c>
      <c r="EM59" s="318" t="s">
        <v>583</v>
      </c>
      <c r="EN59" s="274" t="s">
        <v>532</v>
      </c>
      <c r="EO59" s="385">
        <v>3630</v>
      </c>
      <c r="EP59" s="385">
        <v>3700</v>
      </c>
      <c r="EQ59" s="275">
        <v>3200</v>
      </c>
      <c r="ER59" s="275">
        <v>3300</v>
      </c>
      <c r="ES59" s="275">
        <v>3400</v>
      </c>
      <c r="ET59" s="826">
        <v>3700</v>
      </c>
    </row>
    <row r="60" spans="1:150" ht="66" customHeight="1" thickBot="1" x14ac:dyDescent="0.25">
      <c r="A60" s="277" t="s">
        <v>53</v>
      </c>
      <c r="B60" s="428" t="s">
        <v>54</v>
      </c>
      <c r="C60" s="429" t="s">
        <v>55</v>
      </c>
      <c r="D60" s="429"/>
      <c r="E60" s="8" t="s">
        <v>530</v>
      </c>
      <c r="F60" s="281" t="str">
        <f t="shared" si="4"/>
        <v>E1.P_C</v>
      </c>
      <c r="G60" s="489" t="s">
        <v>93</v>
      </c>
      <c r="H60" s="489" t="s">
        <v>187</v>
      </c>
      <c r="I60" s="283"/>
      <c r="J60" s="457" t="s">
        <v>61</v>
      </c>
      <c r="K60" s="373" t="str">
        <f t="shared" si="5"/>
        <v>E1.P_C.MR1</v>
      </c>
      <c r="L60" s="490" t="s">
        <v>162</v>
      </c>
      <c r="M60" s="490" t="s">
        <v>532</v>
      </c>
      <c r="N60" s="288">
        <v>3630</v>
      </c>
      <c r="O60" s="491">
        <v>3700</v>
      </c>
      <c r="P60" s="480" t="s">
        <v>156</v>
      </c>
      <c r="Q60" s="492" t="str">
        <f t="shared" si="6"/>
        <v>E1.P_C.MR1-MP08-1</v>
      </c>
      <c r="R60" s="420" t="s">
        <v>591</v>
      </c>
      <c r="S60" s="314" t="s">
        <v>592</v>
      </c>
      <c r="T60" s="380">
        <v>14</v>
      </c>
      <c r="U60" s="381">
        <v>18</v>
      </c>
      <c r="V60" s="380" t="s">
        <v>67</v>
      </c>
      <c r="W60" s="295">
        <v>1</v>
      </c>
      <c r="X60" s="296">
        <v>1</v>
      </c>
      <c r="Y60" s="295">
        <v>1</v>
      </c>
      <c r="Z60" s="297">
        <v>1</v>
      </c>
      <c r="AA60" s="382"/>
      <c r="AB60" s="383"/>
      <c r="AC60" s="383"/>
      <c r="AD60" s="383"/>
      <c r="AE60" s="383"/>
      <c r="AF60" s="383"/>
      <c r="AG60" s="383"/>
      <c r="AH60" s="383"/>
      <c r="AI60" s="383"/>
      <c r="AJ60" s="383"/>
      <c r="AK60" s="383"/>
      <c r="AL60" s="383"/>
      <c r="AM60" s="383"/>
      <c r="AN60" s="383"/>
      <c r="AO60" s="383"/>
      <c r="AP60" s="383"/>
      <c r="AQ60" s="383"/>
      <c r="AR60" s="383"/>
      <c r="AS60" s="383"/>
      <c r="AT60" s="383"/>
      <c r="AU60" s="383"/>
      <c r="AV60" s="383"/>
      <c r="AW60" s="383"/>
      <c r="AX60" s="383"/>
      <c r="AY60" s="383"/>
      <c r="AZ60" s="383"/>
      <c r="BA60" s="383"/>
      <c r="BB60" s="383"/>
      <c r="BC60" s="384"/>
      <c r="BD60" s="301" t="s">
        <v>535</v>
      </c>
      <c r="BN60" s="14" t="s">
        <v>434</v>
      </c>
      <c r="BO60" s="355" t="s">
        <v>435</v>
      </c>
      <c r="BP60" s="15" t="s">
        <v>593</v>
      </c>
      <c r="BQ60" s="356"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7" t="s">
        <v>576</v>
      </c>
      <c r="EC60" s="308" t="s">
        <v>577</v>
      </c>
      <c r="ED60" s="309" t="s">
        <v>1621</v>
      </c>
      <c r="EE60" s="439">
        <v>0</v>
      </c>
      <c r="EF60" s="439">
        <v>1</v>
      </c>
      <c r="EG60" s="270"/>
      <c r="EH60" s="270"/>
      <c r="EI60" s="270"/>
      <c r="EJ60" s="270"/>
      <c r="EL60" s="834" t="s">
        <v>595</v>
      </c>
      <c r="EM60" s="318" t="s">
        <v>591</v>
      </c>
      <c r="EN60" s="274" t="s">
        <v>592</v>
      </c>
      <c r="EO60" s="837">
        <v>14</v>
      </c>
      <c r="EP60" s="837">
        <v>18</v>
      </c>
      <c r="EQ60" s="806">
        <v>1</v>
      </c>
      <c r="ER60" s="806">
        <v>1</v>
      </c>
      <c r="ES60" s="806">
        <v>1</v>
      </c>
      <c r="ET60" s="836">
        <v>1</v>
      </c>
    </row>
    <row r="61" spans="1:150" ht="75.75" customHeight="1" x14ac:dyDescent="0.2">
      <c r="A61" s="277" t="s">
        <v>53</v>
      </c>
      <c r="B61" s="428" t="s">
        <v>54</v>
      </c>
      <c r="C61" s="429" t="s">
        <v>55</v>
      </c>
      <c r="D61" s="429"/>
      <c r="E61" s="8" t="s">
        <v>530</v>
      </c>
      <c r="F61" s="281" t="str">
        <f t="shared" si="4"/>
        <v>E1.P_C</v>
      </c>
      <c r="G61" s="489" t="s">
        <v>93</v>
      </c>
      <c r="H61" s="489" t="s">
        <v>187</v>
      </c>
      <c r="I61" s="283"/>
      <c r="J61" s="457" t="s">
        <v>61</v>
      </c>
      <c r="K61" s="373" t="str">
        <f t="shared" si="5"/>
        <v>E1.P_C.MR1</v>
      </c>
      <c r="L61" s="490" t="s">
        <v>162</v>
      </c>
      <c r="M61" s="490" t="s">
        <v>532</v>
      </c>
      <c r="N61" s="288">
        <v>3630</v>
      </c>
      <c r="O61" s="491">
        <v>3700</v>
      </c>
      <c r="P61" s="480" t="s">
        <v>515</v>
      </c>
      <c r="Q61" s="492" t="str">
        <f t="shared" si="6"/>
        <v>E1.P_C.MR1-MP09-1</v>
      </c>
      <c r="R61" s="420" t="s">
        <v>598</v>
      </c>
      <c r="S61" s="314" t="s">
        <v>599</v>
      </c>
      <c r="T61" s="380">
        <v>0</v>
      </c>
      <c r="U61" s="381">
        <v>3</v>
      </c>
      <c r="V61" s="380" t="s">
        <v>67</v>
      </c>
      <c r="W61" s="295">
        <v>1</v>
      </c>
      <c r="X61" s="296">
        <v>1</v>
      </c>
      <c r="Y61" s="295">
        <v>1</v>
      </c>
      <c r="Z61" s="297">
        <v>0</v>
      </c>
      <c r="AA61" s="382"/>
      <c r="AB61" s="383"/>
      <c r="AC61" s="383"/>
      <c r="AD61" s="383"/>
      <c r="AE61" s="383"/>
      <c r="AF61" s="383"/>
      <c r="AG61" s="383"/>
      <c r="AH61" s="383"/>
      <c r="AI61" s="383"/>
      <c r="AJ61" s="383"/>
      <c r="AK61" s="383"/>
      <c r="AL61" s="383"/>
      <c r="AM61" s="383"/>
      <c r="AN61" s="383"/>
      <c r="AO61" s="383"/>
      <c r="AP61" s="383"/>
      <c r="AQ61" s="383"/>
      <c r="AR61" s="383"/>
      <c r="AS61" s="383"/>
      <c r="AT61" s="383"/>
      <c r="AU61" s="383"/>
      <c r="AV61" s="383"/>
      <c r="AW61" s="383"/>
      <c r="AX61" s="383"/>
      <c r="AY61" s="383"/>
      <c r="AZ61" s="383"/>
      <c r="BA61" s="383"/>
      <c r="BB61" s="383"/>
      <c r="BC61" s="384"/>
      <c r="BD61" s="301"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7" t="s">
        <v>584</v>
      </c>
      <c r="EC61" s="308" t="s">
        <v>585</v>
      </c>
      <c r="ED61" s="309" t="s">
        <v>1631</v>
      </c>
      <c r="EE61" s="357">
        <v>1</v>
      </c>
      <c r="EF61" s="357">
        <v>1</v>
      </c>
      <c r="EG61" s="270"/>
      <c r="EH61" s="270"/>
      <c r="EI61" s="270"/>
      <c r="EJ61" s="270"/>
      <c r="EL61" s="834" t="s">
        <v>600</v>
      </c>
      <c r="EM61" s="318" t="s">
        <v>598</v>
      </c>
      <c r="EN61" s="274" t="s">
        <v>599</v>
      </c>
      <c r="EO61" s="385">
        <v>0</v>
      </c>
      <c r="EP61" s="385">
        <v>3</v>
      </c>
      <c r="EQ61" s="275">
        <v>1</v>
      </c>
      <c r="ER61" s="814">
        <v>0</v>
      </c>
      <c r="ES61" s="814">
        <v>2</v>
      </c>
      <c r="ET61" s="826">
        <v>0</v>
      </c>
    </row>
    <row r="62" spans="1:150" ht="68.25" customHeight="1" x14ac:dyDescent="0.2">
      <c r="A62" s="277" t="s">
        <v>53</v>
      </c>
      <c r="B62" s="428" t="s">
        <v>54</v>
      </c>
      <c r="C62" s="429" t="s">
        <v>55</v>
      </c>
      <c r="D62" s="429"/>
      <c r="E62" s="8" t="s">
        <v>530</v>
      </c>
      <c r="F62" s="281" t="str">
        <f t="shared" si="4"/>
        <v>E1.P_C</v>
      </c>
      <c r="G62" s="489" t="s">
        <v>93</v>
      </c>
      <c r="H62" s="489" t="s">
        <v>187</v>
      </c>
      <c r="I62" s="283"/>
      <c r="J62" s="457" t="s">
        <v>61</v>
      </c>
      <c r="K62" s="373" t="str">
        <f t="shared" si="5"/>
        <v>E1.P_C.MR1</v>
      </c>
      <c r="L62" s="490" t="s">
        <v>162</v>
      </c>
      <c r="M62" s="490" t="s">
        <v>532</v>
      </c>
      <c r="N62" s="288">
        <v>3630</v>
      </c>
      <c r="O62" s="491">
        <v>3700</v>
      </c>
      <c r="P62" s="480" t="s">
        <v>522</v>
      </c>
      <c r="Q62" s="492" t="str">
        <f t="shared" si="6"/>
        <v>E1.P_C.MR1-MP10-1</v>
      </c>
      <c r="R62" s="420" t="s">
        <v>603</v>
      </c>
      <c r="S62" s="314" t="s">
        <v>604</v>
      </c>
      <c r="T62" s="293">
        <v>6</v>
      </c>
      <c r="U62" s="294">
        <v>16</v>
      </c>
      <c r="V62" s="293" t="s">
        <v>67</v>
      </c>
      <c r="W62" s="295">
        <v>16</v>
      </c>
      <c r="X62" s="296">
        <v>16</v>
      </c>
      <c r="Y62" s="295">
        <v>16</v>
      </c>
      <c r="Z62" s="297">
        <v>16</v>
      </c>
      <c r="AA62" s="298"/>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c r="AX62" s="299"/>
      <c r="AY62" s="299"/>
      <c r="AZ62" s="299"/>
      <c r="BA62" s="299"/>
      <c r="BB62" s="299"/>
      <c r="BC62" s="300"/>
      <c r="BD62" s="301"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7" t="s">
        <v>593</v>
      </c>
      <c r="EC62" s="308" t="s">
        <v>594</v>
      </c>
      <c r="ED62" s="309" t="s">
        <v>1642</v>
      </c>
      <c r="EE62" s="439">
        <v>85957</v>
      </c>
      <c r="EF62" s="439">
        <v>97991</v>
      </c>
      <c r="EG62" s="270"/>
      <c r="EH62" s="270"/>
      <c r="EI62" s="270"/>
      <c r="EJ62" s="270"/>
      <c r="EL62" s="834" t="s">
        <v>605</v>
      </c>
      <c r="EM62" s="318" t="s">
        <v>603</v>
      </c>
      <c r="EN62" s="274" t="s">
        <v>604</v>
      </c>
      <c r="EO62" s="274">
        <v>6</v>
      </c>
      <c r="EP62" s="274">
        <v>16</v>
      </c>
      <c r="EQ62" s="275">
        <v>16</v>
      </c>
      <c r="ER62" s="275">
        <v>16</v>
      </c>
      <c r="ES62" s="275">
        <v>16</v>
      </c>
      <c r="ET62" s="826">
        <v>16</v>
      </c>
    </row>
    <row r="63" spans="1:150" ht="114" customHeight="1" x14ac:dyDescent="0.2">
      <c r="A63" s="277" t="s">
        <v>53</v>
      </c>
      <c r="B63" s="428" t="s">
        <v>54</v>
      </c>
      <c r="C63" s="429" t="s">
        <v>55</v>
      </c>
      <c r="D63" s="429"/>
      <c r="E63" s="8" t="s">
        <v>530</v>
      </c>
      <c r="F63" s="281" t="str">
        <f t="shared" si="4"/>
        <v>E1.P_C</v>
      </c>
      <c r="G63" s="489" t="s">
        <v>93</v>
      </c>
      <c r="H63" s="489" t="s">
        <v>187</v>
      </c>
      <c r="I63" s="283"/>
      <c r="J63" s="457" t="s">
        <v>61</v>
      </c>
      <c r="K63" s="373" t="str">
        <f t="shared" si="5"/>
        <v>E1.P_C.MR1</v>
      </c>
      <c r="L63" s="490" t="s">
        <v>162</v>
      </c>
      <c r="M63" s="490" t="s">
        <v>532</v>
      </c>
      <c r="N63" s="288">
        <v>3630</v>
      </c>
      <c r="O63" s="491">
        <v>3700</v>
      </c>
      <c r="P63" s="480" t="s">
        <v>610</v>
      </c>
      <c r="Q63" s="492" t="str">
        <f t="shared" si="6"/>
        <v>E1.P_C.MR1-MP11-1</v>
      </c>
      <c r="R63" s="420" t="s">
        <v>611</v>
      </c>
      <c r="S63" s="314" t="s">
        <v>612</v>
      </c>
      <c r="T63" s="293">
        <v>0</v>
      </c>
      <c r="U63" s="294">
        <v>1</v>
      </c>
      <c r="V63" s="293" t="s">
        <v>67</v>
      </c>
      <c r="W63" s="321">
        <v>0.25</v>
      </c>
      <c r="X63" s="322">
        <v>0.25</v>
      </c>
      <c r="Y63" s="321">
        <v>0.25</v>
      </c>
      <c r="Z63" s="323">
        <v>0.25</v>
      </c>
      <c r="AA63" s="298"/>
      <c r="AB63" s="299"/>
      <c r="AC63" s="299"/>
      <c r="AD63" s="299"/>
      <c r="AE63" s="299"/>
      <c r="AF63" s="299"/>
      <c r="AG63" s="299"/>
      <c r="AH63" s="299"/>
      <c r="AI63" s="299"/>
      <c r="AJ63" s="299"/>
      <c r="AK63" s="299"/>
      <c r="AL63" s="299"/>
      <c r="AM63" s="299"/>
      <c r="AN63" s="299"/>
      <c r="AO63" s="299"/>
      <c r="AP63" s="299"/>
      <c r="AQ63" s="299"/>
      <c r="AR63" s="299"/>
      <c r="AS63" s="299"/>
      <c r="AT63" s="299"/>
      <c r="AU63" s="299"/>
      <c r="AV63" s="299"/>
      <c r="AW63" s="299"/>
      <c r="AX63" s="299"/>
      <c r="AY63" s="299"/>
      <c r="AZ63" s="299"/>
      <c r="BA63" s="299"/>
      <c r="BB63" s="299"/>
      <c r="BC63" s="300"/>
      <c r="BD63" s="301"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8" t="s">
        <v>611</v>
      </c>
      <c r="EN63" s="274" t="s">
        <v>612</v>
      </c>
      <c r="EO63" s="274">
        <v>0</v>
      </c>
      <c r="EP63" s="274">
        <v>1</v>
      </c>
      <c r="EQ63" s="329">
        <v>0.25</v>
      </c>
      <c r="ER63" s="329">
        <v>0.25</v>
      </c>
      <c r="ES63" s="329">
        <v>0.25</v>
      </c>
      <c r="ET63" s="825">
        <v>0.25</v>
      </c>
    </row>
    <row r="64" spans="1:150" ht="52.5" customHeight="1" x14ac:dyDescent="0.2">
      <c r="A64" s="277" t="s">
        <v>53</v>
      </c>
      <c r="B64" s="428" t="s">
        <v>54</v>
      </c>
      <c r="C64" s="429" t="s">
        <v>55</v>
      </c>
      <c r="D64" s="429"/>
      <c r="E64" s="8" t="s">
        <v>530</v>
      </c>
      <c r="F64" s="281" t="str">
        <f t="shared" si="4"/>
        <v>E1.P_C</v>
      </c>
      <c r="G64" s="489" t="s">
        <v>93</v>
      </c>
      <c r="H64" s="489" t="s">
        <v>187</v>
      </c>
      <c r="I64" s="283"/>
      <c r="J64" s="457" t="s">
        <v>61</v>
      </c>
      <c r="K64" s="373" t="str">
        <f t="shared" si="5"/>
        <v>E1.P_C.MR1</v>
      </c>
      <c r="L64" s="490" t="s">
        <v>162</v>
      </c>
      <c r="M64" s="490" t="s">
        <v>532</v>
      </c>
      <c r="N64" s="288">
        <v>3630</v>
      </c>
      <c r="O64" s="491">
        <v>3700</v>
      </c>
      <c r="P64" s="480" t="s">
        <v>615</v>
      </c>
      <c r="Q64" s="492" t="str">
        <f t="shared" si="6"/>
        <v>E1.P_C.MR1-MP12-1</v>
      </c>
      <c r="R64" s="420" t="s">
        <v>616</v>
      </c>
      <c r="S64" s="314" t="s">
        <v>617</v>
      </c>
      <c r="T64" s="319">
        <v>0.25</v>
      </c>
      <c r="U64" s="320">
        <v>0.5</v>
      </c>
      <c r="V64" s="319" t="s">
        <v>67</v>
      </c>
      <c r="W64" s="295">
        <v>0</v>
      </c>
      <c r="X64" s="296">
        <v>0</v>
      </c>
      <c r="Y64" s="321">
        <v>0.25</v>
      </c>
      <c r="Z64" s="297">
        <v>0</v>
      </c>
      <c r="AA64" s="324"/>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5"/>
      <c r="BA64" s="325"/>
      <c r="BB64" s="325"/>
      <c r="BC64" s="326"/>
      <c r="BD64" s="301"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8" t="s">
        <v>616</v>
      </c>
      <c r="EN64" s="274" t="s">
        <v>1896</v>
      </c>
      <c r="EO64" s="806">
        <v>25</v>
      </c>
      <c r="EP64" s="806">
        <v>50</v>
      </c>
      <c r="EQ64" s="806">
        <v>0</v>
      </c>
      <c r="ER64" s="806">
        <v>0</v>
      </c>
      <c r="ES64" s="816">
        <v>0</v>
      </c>
      <c r="ET64" s="827">
        <v>25</v>
      </c>
    </row>
    <row r="65" spans="1:150" ht="55.5" customHeight="1" x14ac:dyDescent="0.2">
      <c r="A65" s="277" t="s">
        <v>53</v>
      </c>
      <c r="B65" s="428" t="s">
        <v>54</v>
      </c>
      <c r="C65" s="429" t="s">
        <v>55</v>
      </c>
      <c r="D65" s="429"/>
      <c r="E65" s="8" t="s">
        <v>530</v>
      </c>
      <c r="F65" s="281" t="str">
        <f t="shared" si="4"/>
        <v>E1.P_C</v>
      </c>
      <c r="G65" s="489" t="s">
        <v>93</v>
      </c>
      <c r="H65" s="489" t="s">
        <v>187</v>
      </c>
      <c r="I65" s="283"/>
      <c r="J65" s="457" t="s">
        <v>61</v>
      </c>
      <c r="K65" s="373" t="str">
        <f t="shared" si="5"/>
        <v>E1.P_C.MR1</v>
      </c>
      <c r="L65" s="490" t="s">
        <v>162</v>
      </c>
      <c r="M65" s="490" t="s">
        <v>532</v>
      </c>
      <c r="N65" s="288">
        <v>3630</v>
      </c>
      <c r="O65" s="491">
        <v>3700</v>
      </c>
      <c r="P65" s="480" t="s">
        <v>620</v>
      </c>
      <c r="Q65" s="492" t="str">
        <f t="shared" si="6"/>
        <v>E1.P_C.MR1-MP13-1</v>
      </c>
      <c r="R65" s="420" t="s">
        <v>621</v>
      </c>
      <c r="S65" s="314" t="s">
        <v>622</v>
      </c>
      <c r="T65" s="293">
        <v>2</v>
      </c>
      <c r="U65" s="294">
        <v>6</v>
      </c>
      <c r="V65" s="293" t="s">
        <v>67</v>
      </c>
      <c r="W65" s="295">
        <v>0</v>
      </c>
      <c r="X65" s="296">
        <v>2</v>
      </c>
      <c r="Y65" s="295">
        <v>2</v>
      </c>
      <c r="Z65" s="297">
        <v>2</v>
      </c>
      <c r="AA65" s="298"/>
      <c r="AB65" s="299"/>
      <c r="AC65" s="299"/>
      <c r="AD65" s="299"/>
      <c r="AE65" s="299"/>
      <c r="AF65" s="299"/>
      <c r="AG65" s="299"/>
      <c r="AH65" s="299"/>
      <c r="AI65" s="299"/>
      <c r="AJ65" s="299"/>
      <c r="AK65" s="299"/>
      <c r="AL65" s="299"/>
      <c r="AM65" s="299"/>
      <c r="AN65" s="299"/>
      <c r="AO65" s="299"/>
      <c r="AP65" s="299"/>
      <c r="AQ65" s="299"/>
      <c r="AR65" s="299"/>
      <c r="AS65" s="299"/>
      <c r="AT65" s="299"/>
      <c r="AU65" s="299"/>
      <c r="AV65" s="299"/>
      <c r="AW65" s="299"/>
      <c r="AX65" s="299"/>
      <c r="AY65" s="299"/>
      <c r="AZ65" s="299"/>
      <c r="BA65" s="299"/>
      <c r="BB65" s="299"/>
      <c r="BC65" s="300"/>
      <c r="BD65" s="301"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8" t="s">
        <v>621</v>
      </c>
      <c r="EN65" s="274" t="s">
        <v>622</v>
      </c>
      <c r="EO65" s="274">
        <v>2</v>
      </c>
      <c r="EP65" s="274">
        <v>6</v>
      </c>
      <c r="EQ65" s="275">
        <v>0</v>
      </c>
      <c r="ER65" s="814">
        <v>0</v>
      </c>
      <c r="ES65" s="275">
        <v>2</v>
      </c>
      <c r="ET65" s="826">
        <v>2</v>
      </c>
    </row>
    <row r="66" spans="1:150" ht="48" customHeight="1" x14ac:dyDescent="0.2">
      <c r="A66" s="277" t="s">
        <v>53</v>
      </c>
      <c r="B66" s="428" t="s">
        <v>54</v>
      </c>
      <c r="C66" s="429" t="s">
        <v>55</v>
      </c>
      <c r="D66" s="429"/>
      <c r="E66" s="8" t="s">
        <v>530</v>
      </c>
      <c r="F66" s="281" t="str">
        <f t="shared" si="4"/>
        <v>E1.P_C</v>
      </c>
      <c r="G66" s="489" t="s">
        <v>93</v>
      </c>
      <c r="H66" s="489" t="s">
        <v>187</v>
      </c>
      <c r="I66" s="283"/>
      <c r="J66" s="457" t="s">
        <v>61</v>
      </c>
      <c r="K66" s="373" t="str">
        <f t="shared" si="5"/>
        <v>E1.P_C.MR1</v>
      </c>
      <c r="L66" s="490" t="s">
        <v>162</v>
      </c>
      <c r="M66" s="490" t="s">
        <v>532</v>
      </c>
      <c r="N66" s="288">
        <v>3630</v>
      </c>
      <c r="O66" s="491">
        <v>3700</v>
      </c>
      <c r="P66" s="480" t="s">
        <v>625</v>
      </c>
      <c r="Q66" s="492" t="str">
        <f t="shared" si="6"/>
        <v>E1.P_C.MR1-MP14-1</v>
      </c>
      <c r="R66" s="420" t="s">
        <v>626</v>
      </c>
      <c r="S66" s="314" t="s">
        <v>627</v>
      </c>
      <c r="T66" s="293">
        <v>1</v>
      </c>
      <c r="U66" s="294">
        <v>1</v>
      </c>
      <c r="V66" s="293" t="s">
        <v>102</v>
      </c>
      <c r="W66" s="321">
        <v>0.25</v>
      </c>
      <c r="X66" s="322">
        <v>0.25</v>
      </c>
      <c r="Y66" s="321">
        <v>0.25</v>
      </c>
      <c r="Z66" s="323">
        <v>0.25</v>
      </c>
      <c r="AA66" s="298"/>
      <c r="AB66" s="299"/>
      <c r="AC66" s="299"/>
      <c r="AD66" s="299"/>
      <c r="AE66" s="299"/>
      <c r="AF66" s="299"/>
      <c r="AG66" s="299"/>
      <c r="AH66" s="299"/>
      <c r="AI66" s="299"/>
      <c r="AJ66" s="299"/>
      <c r="AK66" s="299"/>
      <c r="AL66" s="299"/>
      <c r="AM66" s="299"/>
      <c r="AN66" s="299"/>
      <c r="AO66" s="299"/>
      <c r="AP66" s="299"/>
      <c r="AQ66" s="299"/>
      <c r="AR66" s="299"/>
      <c r="AS66" s="299"/>
      <c r="AT66" s="299"/>
      <c r="AU66" s="299"/>
      <c r="AV66" s="299"/>
      <c r="AW66" s="299"/>
      <c r="AX66" s="299"/>
      <c r="AY66" s="299"/>
      <c r="AZ66" s="299"/>
      <c r="BA66" s="299"/>
      <c r="BB66" s="299"/>
      <c r="BC66" s="300"/>
      <c r="BD66" s="301"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8" t="s">
        <v>626</v>
      </c>
      <c r="EN66" s="274" t="s">
        <v>627</v>
      </c>
      <c r="EO66" s="274">
        <v>1</v>
      </c>
      <c r="EP66" s="274">
        <v>1</v>
      </c>
      <c r="EQ66" s="329">
        <v>1</v>
      </c>
      <c r="ER66" s="329">
        <v>1</v>
      </c>
      <c r="ES66" s="329">
        <v>1</v>
      </c>
      <c r="ET66" s="825">
        <v>1</v>
      </c>
    </row>
    <row r="67" spans="1:150" ht="68.25" customHeight="1" x14ac:dyDescent="0.2">
      <c r="A67" s="277" t="s">
        <v>53</v>
      </c>
      <c r="B67" s="428" t="s">
        <v>54</v>
      </c>
      <c r="C67" s="429" t="s">
        <v>55</v>
      </c>
      <c r="D67" s="429"/>
      <c r="E67" s="8" t="s">
        <v>530</v>
      </c>
      <c r="F67" s="281" t="str">
        <f t="shared" si="4"/>
        <v>E1.P_C</v>
      </c>
      <c r="G67" s="489" t="s">
        <v>93</v>
      </c>
      <c r="H67" s="489" t="s">
        <v>187</v>
      </c>
      <c r="I67" s="283"/>
      <c r="J67" s="457" t="s">
        <v>61</v>
      </c>
      <c r="K67" s="373" t="str">
        <f t="shared" si="5"/>
        <v>E1.P_C.MR1</v>
      </c>
      <c r="L67" s="490" t="s">
        <v>162</v>
      </c>
      <c r="M67" s="490" t="s">
        <v>532</v>
      </c>
      <c r="N67" s="288">
        <v>3630</v>
      </c>
      <c r="O67" s="491">
        <v>3700</v>
      </c>
      <c r="P67" s="480" t="s">
        <v>630</v>
      </c>
      <c r="Q67" s="492" t="str">
        <f t="shared" si="6"/>
        <v>E1.P_C.MR1-MP15-5</v>
      </c>
      <c r="R67" s="420" t="s">
        <v>631</v>
      </c>
      <c r="S67" s="314" t="s">
        <v>632</v>
      </c>
      <c r="T67" s="293">
        <v>1</v>
      </c>
      <c r="U67" s="294">
        <v>20</v>
      </c>
      <c r="V67" s="293" t="s">
        <v>67</v>
      </c>
      <c r="W67" s="295">
        <v>0</v>
      </c>
      <c r="X67" s="296">
        <v>10</v>
      </c>
      <c r="Y67" s="295">
        <v>10</v>
      </c>
      <c r="Z67" s="297">
        <v>0</v>
      </c>
      <c r="AA67" s="298"/>
      <c r="AB67" s="299"/>
      <c r="AC67" s="299"/>
      <c r="AD67" s="299"/>
      <c r="AE67" s="299"/>
      <c r="AF67" s="299"/>
      <c r="AG67" s="299"/>
      <c r="AH67" s="299"/>
      <c r="AI67" s="299"/>
      <c r="AJ67" s="299"/>
      <c r="AK67" s="299"/>
      <c r="AL67" s="299"/>
      <c r="AM67" s="299"/>
      <c r="AN67" s="299"/>
      <c r="AO67" s="299"/>
      <c r="AP67" s="299"/>
      <c r="AQ67" s="299"/>
      <c r="AR67" s="299"/>
      <c r="AS67" s="299"/>
      <c r="AT67" s="299"/>
      <c r="AU67" s="299"/>
      <c r="AV67" s="299"/>
      <c r="AW67" s="299"/>
      <c r="AX67" s="299"/>
      <c r="AY67" s="299"/>
      <c r="AZ67" s="299"/>
      <c r="BA67" s="299"/>
      <c r="BB67" s="299"/>
      <c r="BC67" s="300"/>
      <c r="BD67" s="301"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8" t="s">
        <v>631</v>
      </c>
      <c r="EN67" s="274" t="s">
        <v>632</v>
      </c>
      <c r="EO67" s="274">
        <v>1</v>
      </c>
      <c r="EP67" s="274">
        <v>20</v>
      </c>
      <c r="EQ67" s="275">
        <v>0</v>
      </c>
      <c r="ER67" s="814">
        <v>3</v>
      </c>
      <c r="ES67" s="814">
        <v>8</v>
      </c>
      <c r="ET67" s="830">
        <v>8</v>
      </c>
    </row>
    <row r="68" spans="1:150" ht="33.75" customHeight="1" thickBot="1" x14ac:dyDescent="0.25">
      <c r="A68" s="277" t="s">
        <v>53</v>
      </c>
      <c r="B68" s="428" t="s">
        <v>54</v>
      </c>
      <c r="C68" s="429" t="s">
        <v>55</v>
      </c>
      <c r="D68" s="429"/>
      <c r="E68" s="8" t="s">
        <v>530</v>
      </c>
      <c r="F68" s="281" t="str">
        <f t="shared" si="4"/>
        <v>E1.P_C</v>
      </c>
      <c r="G68" s="494" t="s">
        <v>93</v>
      </c>
      <c r="H68" s="494" t="s">
        <v>187</v>
      </c>
      <c r="I68" s="495"/>
      <c r="J68" s="463" t="s">
        <v>61</v>
      </c>
      <c r="K68" s="464" t="str">
        <f t="shared" si="5"/>
        <v>E1.P_C.MR1</v>
      </c>
      <c r="L68" s="496" t="s">
        <v>162</v>
      </c>
      <c r="M68" s="496" t="s">
        <v>532</v>
      </c>
      <c r="N68" s="426">
        <v>3630</v>
      </c>
      <c r="O68" s="497">
        <v>3700</v>
      </c>
      <c r="P68" s="480" t="s">
        <v>635</v>
      </c>
      <c r="Q68" s="498" t="str">
        <f t="shared" si="6"/>
        <v>E1.P_C.MR1-MP16-1</v>
      </c>
      <c r="R68" s="427" t="s">
        <v>636</v>
      </c>
      <c r="S68" s="349" t="s">
        <v>637</v>
      </c>
      <c r="T68" s="338">
        <v>0</v>
      </c>
      <c r="U68" s="499">
        <v>0.4</v>
      </c>
      <c r="V68" s="500" t="s">
        <v>67</v>
      </c>
      <c r="W68" s="501">
        <v>0</v>
      </c>
      <c r="X68" s="502">
        <v>0.15</v>
      </c>
      <c r="Y68" s="503">
        <v>0.15</v>
      </c>
      <c r="Z68" s="504">
        <v>0.1</v>
      </c>
      <c r="AA68" s="324"/>
      <c r="AB68" s="325"/>
      <c r="AC68" s="325"/>
      <c r="AD68" s="325"/>
      <c r="AE68" s="325"/>
      <c r="AF68" s="325"/>
      <c r="AG68" s="325"/>
      <c r="AH68" s="325"/>
      <c r="AI68" s="325"/>
      <c r="AJ68" s="325"/>
      <c r="AK68" s="325"/>
      <c r="AL68" s="325"/>
      <c r="AM68" s="325"/>
      <c r="AN68" s="325"/>
      <c r="AO68" s="325"/>
      <c r="AP68" s="325"/>
      <c r="AQ68" s="325"/>
      <c r="AR68" s="325"/>
      <c r="AS68" s="325"/>
      <c r="AT68" s="325"/>
      <c r="AU68" s="325"/>
      <c r="AV68" s="325"/>
      <c r="AW68" s="325"/>
      <c r="AX68" s="325"/>
      <c r="AY68" s="325"/>
      <c r="AZ68" s="325"/>
      <c r="BA68" s="325"/>
      <c r="BB68" s="325"/>
      <c r="BC68" s="326"/>
      <c r="BD68" s="301"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8" t="s">
        <v>636</v>
      </c>
      <c r="EN68" s="274" t="s">
        <v>637</v>
      </c>
      <c r="EO68" s="274">
        <v>0</v>
      </c>
      <c r="EP68" s="275">
        <v>40</v>
      </c>
      <c r="EQ68" s="275">
        <v>0</v>
      </c>
      <c r="ER68" s="816">
        <v>0</v>
      </c>
      <c r="ES68" s="329">
        <v>15</v>
      </c>
      <c r="ET68" s="824">
        <v>25</v>
      </c>
    </row>
    <row r="69" spans="1:150" ht="105" customHeight="1" x14ac:dyDescent="0.2">
      <c r="A69" s="277" t="s">
        <v>53</v>
      </c>
      <c r="B69" s="450" t="s">
        <v>54</v>
      </c>
      <c r="C69" s="451" t="s">
        <v>55</v>
      </c>
      <c r="D69" s="430" t="s">
        <v>640</v>
      </c>
      <c r="E69" s="3" t="s">
        <v>641</v>
      </c>
      <c r="F69" s="431" t="str">
        <f t="shared" si="4"/>
        <v>E1.P_D</v>
      </c>
      <c r="G69" s="432" t="s">
        <v>106</v>
      </c>
      <c r="H69" s="433" t="s">
        <v>198</v>
      </c>
      <c r="I69" s="811" t="s">
        <v>642</v>
      </c>
      <c r="J69" s="434" t="s">
        <v>61</v>
      </c>
      <c r="K69" s="398" t="str">
        <f t="shared" si="5"/>
        <v>E1.P_D.MR1</v>
      </c>
      <c r="L69" s="360" t="s">
        <v>174</v>
      </c>
      <c r="M69" s="361" t="s">
        <v>532</v>
      </c>
      <c r="N69" s="247">
        <v>1400</v>
      </c>
      <c r="O69" s="479">
        <v>1800</v>
      </c>
      <c r="P69" s="480" t="s">
        <v>64</v>
      </c>
      <c r="Q69" s="481" t="str">
        <f t="shared" si="6"/>
        <v>E1.P_D.MR1-MP01-1</v>
      </c>
      <c r="R69" s="505" t="s">
        <v>643</v>
      </c>
      <c r="S69" s="506" t="s">
        <v>644</v>
      </c>
      <c r="T69" s="507">
        <v>15</v>
      </c>
      <c r="U69" s="508">
        <v>19</v>
      </c>
      <c r="V69" s="507" t="s">
        <v>67</v>
      </c>
      <c r="W69" s="255">
        <v>17</v>
      </c>
      <c r="X69" s="370">
        <v>18</v>
      </c>
      <c r="Y69" s="255">
        <v>19</v>
      </c>
      <c r="Z69" s="371">
        <v>19</v>
      </c>
      <c r="AA69" s="436">
        <f>300000000+387450000+35000000+10000000+65000000+81000000+43000000+140000000+154000000+33707321+48400000+10000000+60708567+35000000+50000000+34000000+134100000+461291433-1365053637</f>
        <v>717603684</v>
      </c>
      <c r="AB69" s="437">
        <f>50000000+96292679+1000000000</f>
        <v>1146292679</v>
      </c>
      <c r="AC69" s="437">
        <v>100000000</v>
      </c>
      <c r="AD69" s="437"/>
      <c r="AE69" s="437"/>
      <c r="AF69" s="437">
        <f>1071402+103032235</f>
        <v>104103637</v>
      </c>
      <c r="AG69" s="437">
        <f>SUM(AA69:AF69)</f>
        <v>2068000000</v>
      </c>
      <c r="AH69" s="437">
        <f t="shared" ref="AH69:AT69" si="21">+AA69</f>
        <v>717603684</v>
      </c>
      <c r="AI69" s="437">
        <f t="shared" si="21"/>
        <v>1146292679</v>
      </c>
      <c r="AJ69" s="437">
        <f t="shared" si="21"/>
        <v>100000000</v>
      </c>
      <c r="AK69" s="437">
        <f t="shared" si="21"/>
        <v>0</v>
      </c>
      <c r="AL69" s="437">
        <f t="shared" si="21"/>
        <v>0</v>
      </c>
      <c r="AM69" s="437">
        <f t="shared" si="21"/>
        <v>104103637</v>
      </c>
      <c r="AN69" s="437">
        <f t="shared" si="21"/>
        <v>2068000000</v>
      </c>
      <c r="AO69" s="437">
        <f t="shared" si="21"/>
        <v>717603684</v>
      </c>
      <c r="AP69" s="437">
        <f t="shared" si="21"/>
        <v>1146292679</v>
      </c>
      <c r="AQ69" s="437">
        <f t="shared" si="21"/>
        <v>100000000</v>
      </c>
      <c r="AR69" s="437">
        <f t="shared" si="21"/>
        <v>0</v>
      </c>
      <c r="AS69" s="437">
        <f t="shared" si="21"/>
        <v>0</v>
      </c>
      <c r="AT69" s="437">
        <f t="shared" si="21"/>
        <v>104103637</v>
      </c>
      <c r="AU69" s="437">
        <f t="shared" ref="AU69" si="22">SUM(AO69:AT69)</f>
        <v>2068000000</v>
      </c>
      <c r="AV69" s="437">
        <f>+AO69</f>
        <v>717603684</v>
      </c>
      <c r="AW69" s="437">
        <f t="shared" ref="AW69:BA69" si="23">+AP69</f>
        <v>1146292679</v>
      </c>
      <c r="AX69" s="437">
        <f t="shared" si="23"/>
        <v>100000000</v>
      </c>
      <c r="AY69" s="437">
        <f t="shared" si="23"/>
        <v>0</v>
      </c>
      <c r="AZ69" s="437">
        <f t="shared" si="23"/>
        <v>0</v>
      </c>
      <c r="BA69" s="437">
        <f t="shared" si="23"/>
        <v>104103637</v>
      </c>
      <c r="BB69" s="437">
        <f t="shared" ref="BB69" si="24">SUM(AV69:BA69)</f>
        <v>2068000000</v>
      </c>
      <c r="BC69" s="438">
        <f t="shared" ref="BC69" si="25">+BB69+AU69+AN69+AG69</f>
        <v>8272000000</v>
      </c>
      <c r="BD69" s="301"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8" t="s">
        <v>643</v>
      </c>
      <c r="EN69" s="274" t="s">
        <v>644</v>
      </c>
      <c r="EO69" s="385">
        <v>15</v>
      </c>
      <c r="EP69" s="385">
        <v>19</v>
      </c>
      <c r="EQ69" s="275">
        <v>17</v>
      </c>
      <c r="ER69" s="275">
        <v>18</v>
      </c>
      <c r="ES69" s="275">
        <v>19</v>
      </c>
      <c r="ET69" s="826">
        <v>19</v>
      </c>
    </row>
    <row r="70" spans="1:150" ht="56.25" customHeight="1" x14ac:dyDescent="0.2">
      <c r="A70" s="277" t="s">
        <v>53</v>
      </c>
      <c r="B70" s="428" t="s">
        <v>54</v>
      </c>
      <c r="C70" s="429" t="s">
        <v>55</v>
      </c>
      <c r="D70" s="429"/>
      <c r="E70" s="8" t="s">
        <v>641</v>
      </c>
      <c r="F70" s="281" t="str">
        <f t="shared" si="4"/>
        <v>E1.P_D</v>
      </c>
      <c r="G70" s="509" t="s">
        <v>106</v>
      </c>
      <c r="H70" s="510" t="s">
        <v>198</v>
      </c>
      <c r="I70" s="442"/>
      <c r="J70" s="284" t="s">
        <v>61</v>
      </c>
      <c r="K70" s="285" t="str">
        <f t="shared" si="5"/>
        <v>E1.P_D.MR1</v>
      </c>
      <c r="L70" s="511" t="s">
        <v>174</v>
      </c>
      <c r="M70" s="512" t="s">
        <v>532</v>
      </c>
      <c r="N70" s="288">
        <v>1400</v>
      </c>
      <c r="O70" s="491">
        <v>1800</v>
      </c>
      <c r="P70" s="480" t="s">
        <v>87</v>
      </c>
      <c r="Q70" s="492" t="str">
        <f t="shared" si="6"/>
        <v>E1.P_D.MR1-MP02-1</v>
      </c>
      <c r="R70" s="420" t="s">
        <v>648</v>
      </c>
      <c r="S70" s="314" t="s">
        <v>649</v>
      </c>
      <c r="T70" s="293">
        <v>4</v>
      </c>
      <c r="U70" s="294">
        <v>8</v>
      </c>
      <c r="V70" s="293" t="s">
        <v>67</v>
      </c>
      <c r="W70" s="295">
        <v>6</v>
      </c>
      <c r="X70" s="296">
        <v>8</v>
      </c>
      <c r="Y70" s="295">
        <v>8</v>
      </c>
      <c r="Z70" s="297">
        <v>8</v>
      </c>
      <c r="AA70" s="298"/>
      <c r="AB70" s="299"/>
      <c r="AC70" s="299"/>
      <c r="AD70" s="299"/>
      <c r="AE70" s="299"/>
      <c r="AF70" s="299"/>
      <c r="AG70" s="299"/>
      <c r="AH70" s="299"/>
      <c r="AI70" s="299"/>
      <c r="AJ70" s="299"/>
      <c r="AK70" s="299"/>
      <c r="AL70" s="299"/>
      <c r="AM70" s="299"/>
      <c r="AN70" s="299"/>
      <c r="AO70" s="299"/>
      <c r="AP70" s="299"/>
      <c r="AQ70" s="299"/>
      <c r="AR70" s="299"/>
      <c r="AS70" s="299"/>
      <c r="AT70" s="299"/>
      <c r="AU70" s="299"/>
      <c r="AV70" s="299"/>
      <c r="AW70" s="299"/>
      <c r="AX70" s="299"/>
      <c r="AY70" s="299"/>
      <c r="AZ70" s="299"/>
      <c r="BA70" s="299"/>
      <c r="BB70" s="299"/>
      <c r="BC70" s="300"/>
      <c r="BD70" s="301"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8" t="s">
        <v>648</v>
      </c>
      <c r="EN70" s="274" t="s">
        <v>649</v>
      </c>
      <c r="EO70" s="274">
        <v>4</v>
      </c>
      <c r="EP70" s="274">
        <v>8</v>
      </c>
      <c r="EQ70" s="275">
        <v>6</v>
      </c>
      <c r="ER70" s="275">
        <v>8</v>
      </c>
      <c r="ES70" s="275">
        <v>8</v>
      </c>
      <c r="ET70" s="826">
        <v>8</v>
      </c>
    </row>
    <row r="71" spans="1:150" ht="50.25" customHeight="1" x14ac:dyDescent="0.2">
      <c r="A71" s="277" t="s">
        <v>53</v>
      </c>
      <c r="B71" s="428" t="s">
        <v>54</v>
      </c>
      <c r="C71" s="429" t="s">
        <v>55</v>
      </c>
      <c r="D71" s="429"/>
      <c r="E71" s="8" t="s">
        <v>641</v>
      </c>
      <c r="F71" s="281" t="str">
        <f t="shared" si="4"/>
        <v>E1.P_D</v>
      </c>
      <c r="G71" s="509" t="s">
        <v>106</v>
      </c>
      <c r="H71" s="510" t="s">
        <v>198</v>
      </c>
      <c r="I71" s="442"/>
      <c r="J71" s="284" t="s">
        <v>61</v>
      </c>
      <c r="K71" s="285" t="str">
        <f t="shared" si="5"/>
        <v>E1.P_D.MR1</v>
      </c>
      <c r="L71" s="511" t="s">
        <v>174</v>
      </c>
      <c r="M71" s="512" t="s">
        <v>532</v>
      </c>
      <c r="N71" s="288">
        <v>1400</v>
      </c>
      <c r="O71" s="491">
        <v>1800</v>
      </c>
      <c r="P71" s="480" t="s">
        <v>99</v>
      </c>
      <c r="Q71" s="492" t="str">
        <f t="shared" si="6"/>
        <v>E1.P_D.MR1-MP03-1</v>
      </c>
      <c r="R71" s="420" t="s">
        <v>652</v>
      </c>
      <c r="S71" s="314" t="s">
        <v>653</v>
      </c>
      <c r="T71" s="293">
        <v>0</v>
      </c>
      <c r="U71" s="294">
        <v>1</v>
      </c>
      <c r="V71" s="293" t="s">
        <v>67</v>
      </c>
      <c r="W71" s="321">
        <v>0.25</v>
      </c>
      <c r="X71" s="322">
        <v>0.25</v>
      </c>
      <c r="Y71" s="321">
        <v>0.25</v>
      </c>
      <c r="Z71" s="323">
        <v>0.25</v>
      </c>
      <c r="AA71" s="298"/>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299"/>
      <c r="BB71" s="299"/>
      <c r="BC71" s="300"/>
      <c r="BD71" s="301"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8" t="s">
        <v>652</v>
      </c>
      <c r="EN71" s="274" t="s">
        <v>653</v>
      </c>
      <c r="EO71" s="274">
        <v>0</v>
      </c>
      <c r="EP71" s="274">
        <v>1</v>
      </c>
      <c r="EQ71" s="329">
        <v>0.25</v>
      </c>
      <c r="ER71" s="329">
        <v>0.25</v>
      </c>
      <c r="ES71" s="329">
        <v>0.25</v>
      </c>
      <c r="ET71" s="825">
        <v>0.25</v>
      </c>
    </row>
    <row r="72" spans="1:150" ht="72.75" customHeight="1" x14ac:dyDescent="0.2">
      <c r="A72" s="277" t="s">
        <v>53</v>
      </c>
      <c r="B72" s="428" t="s">
        <v>54</v>
      </c>
      <c r="C72" s="429" t="s">
        <v>55</v>
      </c>
      <c r="D72" s="429"/>
      <c r="E72" s="8" t="s">
        <v>641</v>
      </c>
      <c r="F72" s="281" t="str">
        <f t="shared" si="4"/>
        <v>E1.P_D</v>
      </c>
      <c r="G72" s="509" t="s">
        <v>106</v>
      </c>
      <c r="H72" s="510" t="s">
        <v>198</v>
      </c>
      <c r="I72" s="442"/>
      <c r="J72" s="284" t="s">
        <v>61</v>
      </c>
      <c r="K72" s="285" t="str">
        <f t="shared" si="5"/>
        <v>E1.P_D.MR1</v>
      </c>
      <c r="L72" s="511" t="s">
        <v>174</v>
      </c>
      <c r="M72" s="512" t="s">
        <v>532</v>
      </c>
      <c r="N72" s="288">
        <v>1400</v>
      </c>
      <c r="O72" s="491">
        <v>1800</v>
      </c>
      <c r="P72" s="480" t="s">
        <v>112</v>
      </c>
      <c r="Q72" s="492" t="str">
        <f t="shared" si="6"/>
        <v>E1.P_D.MR1-MP04-1</v>
      </c>
      <c r="R72" s="420" t="s">
        <v>656</v>
      </c>
      <c r="S72" s="314" t="s">
        <v>657</v>
      </c>
      <c r="T72" s="293">
        <v>2</v>
      </c>
      <c r="U72" s="294">
        <v>4</v>
      </c>
      <c r="V72" s="293" t="s">
        <v>67</v>
      </c>
      <c r="W72" s="295">
        <v>1</v>
      </c>
      <c r="X72" s="296">
        <v>1</v>
      </c>
      <c r="Y72" s="295">
        <v>1</v>
      </c>
      <c r="Z72" s="297">
        <v>1</v>
      </c>
      <c r="AA72" s="298"/>
      <c r="AB72" s="299"/>
      <c r="AC72" s="299"/>
      <c r="AD72" s="299"/>
      <c r="AE72" s="299"/>
      <c r="AF72" s="299"/>
      <c r="AG72" s="299"/>
      <c r="AH72" s="299"/>
      <c r="AI72" s="299"/>
      <c r="AJ72" s="299"/>
      <c r="AK72" s="299"/>
      <c r="AL72" s="299"/>
      <c r="AM72" s="299"/>
      <c r="AN72" s="299"/>
      <c r="AO72" s="299"/>
      <c r="AP72" s="299"/>
      <c r="AQ72" s="299"/>
      <c r="AR72" s="299"/>
      <c r="AS72" s="299"/>
      <c r="AT72" s="299"/>
      <c r="AU72" s="299"/>
      <c r="AV72" s="299"/>
      <c r="AW72" s="299"/>
      <c r="AX72" s="299"/>
      <c r="AY72" s="299"/>
      <c r="AZ72" s="299"/>
      <c r="BA72" s="299"/>
      <c r="BB72" s="299"/>
      <c r="BC72" s="300"/>
      <c r="BD72" s="301"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8" t="s">
        <v>656</v>
      </c>
      <c r="EN72" s="274" t="s">
        <v>657</v>
      </c>
      <c r="EO72" s="274">
        <v>2</v>
      </c>
      <c r="EP72" s="274">
        <v>4</v>
      </c>
      <c r="EQ72" s="275">
        <v>1</v>
      </c>
      <c r="ER72" s="275">
        <v>1</v>
      </c>
      <c r="ES72" s="275">
        <v>1</v>
      </c>
      <c r="ET72" s="826">
        <v>1</v>
      </c>
    </row>
    <row r="73" spans="1:150" ht="51" customHeight="1" x14ac:dyDescent="0.2">
      <c r="A73" s="277" t="s">
        <v>53</v>
      </c>
      <c r="B73" s="428" t="s">
        <v>54</v>
      </c>
      <c r="C73" s="429" t="s">
        <v>55</v>
      </c>
      <c r="D73" s="429"/>
      <c r="E73" s="8" t="s">
        <v>641</v>
      </c>
      <c r="F73" s="281" t="str">
        <f t="shared" si="4"/>
        <v>E1.P_D</v>
      </c>
      <c r="G73" s="509" t="s">
        <v>106</v>
      </c>
      <c r="H73" s="510" t="s">
        <v>198</v>
      </c>
      <c r="I73" s="442"/>
      <c r="J73" s="284" t="s">
        <v>61</v>
      </c>
      <c r="K73" s="285" t="str">
        <f t="shared" si="5"/>
        <v>E1.P_D.MR1</v>
      </c>
      <c r="L73" s="511" t="s">
        <v>174</v>
      </c>
      <c r="M73" s="512" t="s">
        <v>532</v>
      </c>
      <c r="N73" s="288">
        <v>1400</v>
      </c>
      <c r="O73" s="491">
        <v>1800</v>
      </c>
      <c r="P73" s="480" t="s">
        <v>122</v>
      </c>
      <c r="Q73" s="492" t="str">
        <f t="shared" si="6"/>
        <v>E1.P_D.MR1-MP05-1</v>
      </c>
      <c r="R73" s="420" t="s">
        <v>660</v>
      </c>
      <c r="S73" s="314" t="s">
        <v>532</v>
      </c>
      <c r="T73" s="293">
        <v>1</v>
      </c>
      <c r="U73" s="294">
        <v>2</v>
      </c>
      <c r="V73" s="293" t="s">
        <v>67</v>
      </c>
      <c r="W73" s="315">
        <v>0.5</v>
      </c>
      <c r="X73" s="330">
        <v>0.5</v>
      </c>
      <c r="Y73" s="315">
        <v>0.5</v>
      </c>
      <c r="Z73" s="316">
        <v>0.5</v>
      </c>
      <c r="AA73" s="298"/>
      <c r="AB73" s="299"/>
      <c r="AC73" s="299"/>
      <c r="AD73" s="299"/>
      <c r="AE73" s="299"/>
      <c r="AF73" s="299"/>
      <c r="AG73" s="299"/>
      <c r="AH73" s="299"/>
      <c r="AI73" s="299"/>
      <c r="AJ73" s="299"/>
      <c r="AK73" s="299"/>
      <c r="AL73" s="299"/>
      <c r="AM73" s="299"/>
      <c r="AN73" s="299"/>
      <c r="AO73" s="299"/>
      <c r="AP73" s="299"/>
      <c r="AQ73" s="299"/>
      <c r="AR73" s="299"/>
      <c r="AS73" s="299"/>
      <c r="AT73" s="299"/>
      <c r="AU73" s="299"/>
      <c r="AV73" s="299"/>
      <c r="AW73" s="299"/>
      <c r="AX73" s="299"/>
      <c r="AY73" s="299"/>
      <c r="AZ73" s="299"/>
      <c r="BA73" s="299"/>
      <c r="BB73" s="299"/>
      <c r="BC73" s="300"/>
      <c r="BD73" s="301"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8" t="s">
        <v>660</v>
      </c>
      <c r="EN73" s="274" t="s">
        <v>532</v>
      </c>
      <c r="EO73" s="274">
        <v>1</v>
      </c>
      <c r="EP73" s="274">
        <v>2</v>
      </c>
      <c r="EQ73" s="276">
        <v>0.5</v>
      </c>
      <c r="ER73" s="815">
        <v>0</v>
      </c>
      <c r="ES73" s="816">
        <v>0.25</v>
      </c>
      <c r="ET73" s="827">
        <v>0.25</v>
      </c>
    </row>
    <row r="74" spans="1:150" ht="49.5" customHeight="1" x14ac:dyDescent="0.2">
      <c r="A74" s="277" t="s">
        <v>53</v>
      </c>
      <c r="B74" s="428" t="s">
        <v>54</v>
      </c>
      <c r="C74" s="429" t="s">
        <v>55</v>
      </c>
      <c r="D74" s="429"/>
      <c r="E74" s="8" t="s">
        <v>641</v>
      </c>
      <c r="F74" s="281" t="str">
        <f t="shared" ref="F74:F137" si="26">+CONCATENATE(A74,E74)</f>
        <v>E1.P_D</v>
      </c>
      <c r="G74" s="509" t="s">
        <v>106</v>
      </c>
      <c r="H74" s="510" t="s">
        <v>198</v>
      </c>
      <c r="I74" s="442"/>
      <c r="J74" s="284" t="s">
        <v>61</v>
      </c>
      <c r="K74" s="285" t="str">
        <f t="shared" ref="K74:K137" si="27">+CONCATENATE(F74,".",J74)</f>
        <v>E1.P_D.MR1</v>
      </c>
      <c r="L74" s="511" t="s">
        <v>174</v>
      </c>
      <c r="M74" s="512" t="s">
        <v>532</v>
      </c>
      <c r="N74" s="288">
        <v>1400</v>
      </c>
      <c r="O74" s="491">
        <v>1800</v>
      </c>
      <c r="P74" s="480" t="s">
        <v>132</v>
      </c>
      <c r="Q74" s="492" t="str">
        <f t="shared" ref="Q74:Q137" si="28">+CONCATENATE(K74,"-",P74)</f>
        <v>E1.P_D.MR1-MP06-1</v>
      </c>
      <c r="R74" s="420" t="s">
        <v>663</v>
      </c>
      <c r="S74" s="314" t="s">
        <v>664</v>
      </c>
      <c r="T74" s="293">
        <v>1</v>
      </c>
      <c r="U74" s="294">
        <v>5</v>
      </c>
      <c r="V74" s="293" t="s">
        <v>67</v>
      </c>
      <c r="W74" s="295">
        <v>2</v>
      </c>
      <c r="X74" s="296">
        <v>5</v>
      </c>
      <c r="Y74" s="295">
        <v>5</v>
      </c>
      <c r="Z74" s="297">
        <v>5</v>
      </c>
      <c r="AA74" s="298"/>
      <c r="AB74" s="299"/>
      <c r="AC74" s="299"/>
      <c r="AD74" s="299"/>
      <c r="AE74" s="299"/>
      <c r="AF74" s="299"/>
      <c r="AG74" s="299"/>
      <c r="AH74" s="299"/>
      <c r="AI74" s="299"/>
      <c r="AJ74" s="299"/>
      <c r="AK74" s="299"/>
      <c r="AL74" s="299"/>
      <c r="AM74" s="299"/>
      <c r="AN74" s="299"/>
      <c r="AO74" s="299"/>
      <c r="AP74" s="299"/>
      <c r="AQ74" s="299"/>
      <c r="AR74" s="299"/>
      <c r="AS74" s="299"/>
      <c r="AT74" s="299"/>
      <c r="AU74" s="299"/>
      <c r="AV74" s="299"/>
      <c r="AW74" s="299"/>
      <c r="AX74" s="299"/>
      <c r="AY74" s="299"/>
      <c r="AZ74" s="299"/>
      <c r="BA74" s="299"/>
      <c r="BB74" s="299"/>
      <c r="BC74" s="300"/>
      <c r="BD74" s="301"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8" t="s">
        <v>663</v>
      </c>
      <c r="EN74" s="274" t="s">
        <v>664</v>
      </c>
      <c r="EO74" s="274">
        <v>1</v>
      </c>
      <c r="EP74" s="274">
        <v>5</v>
      </c>
      <c r="EQ74" s="275">
        <v>2</v>
      </c>
      <c r="ER74" s="275">
        <v>5</v>
      </c>
      <c r="ES74" s="275">
        <v>5</v>
      </c>
      <c r="ET74" s="826">
        <v>5</v>
      </c>
    </row>
    <row r="75" spans="1:150" ht="81.75" customHeight="1" x14ac:dyDescent="0.2">
      <c r="A75" s="277" t="s">
        <v>53</v>
      </c>
      <c r="B75" s="428" t="s">
        <v>54</v>
      </c>
      <c r="C75" s="429" t="s">
        <v>55</v>
      </c>
      <c r="D75" s="429"/>
      <c r="E75" s="8" t="s">
        <v>641</v>
      </c>
      <c r="F75" s="281" t="str">
        <f t="shared" si="26"/>
        <v>E1.P_D</v>
      </c>
      <c r="G75" s="509" t="s">
        <v>106</v>
      </c>
      <c r="H75" s="510" t="s">
        <v>198</v>
      </c>
      <c r="I75" s="442"/>
      <c r="J75" s="284" t="s">
        <v>61</v>
      </c>
      <c r="K75" s="285" t="str">
        <f t="shared" si="27"/>
        <v>E1.P_D.MR1</v>
      </c>
      <c r="L75" s="511" t="s">
        <v>174</v>
      </c>
      <c r="M75" s="512" t="s">
        <v>532</v>
      </c>
      <c r="N75" s="288">
        <v>1400</v>
      </c>
      <c r="O75" s="491">
        <v>1800</v>
      </c>
      <c r="P75" s="480" t="s">
        <v>142</v>
      </c>
      <c r="Q75" s="492" t="str">
        <f t="shared" si="28"/>
        <v>E1.P_D.MR1-MP07-1</v>
      </c>
      <c r="R75" s="420" t="s">
        <v>667</v>
      </c>
      <c r="S75" s="314" t="s">
        <v>668</v>
      </c>
      <c r="T75" s="380">
        <v>1</v>
      </c>
      <c r="U75" s="381">
        <v>1</v>
      </c>
      <c r="V75" s="380" t="s">
        <v>102</v>
      </c>
      <c r="W75" s="315">
        <v>0</v>
      </c>
      <c r="X75" s="330">
        <v>33.299999999999997</v>
      </c>
      <c r="Y75" s="315">
        <v>33.299999999999997</v>
      </c>
      <c r="Z75" s="316">
        <v>33.299999999999997</v>
      </c>
      <c r="AA75" s="382"/>
      <c r="AB75" s="383"/>
      <c r="AC75" s="383"/>
      <c r="AD75" s="383"/>
      <c r="AE75" s="383"/>
      <c r="AF75" s="383"/>
      <c r="AG75" s="383"/>
      <c r="AH75" s="383"/>
      <c r="AI75" s="383"/>
      <c r="AJ75" s="383"/>
      <c r="AK75" s="383"/>
      <c r="AL75" s="383"/>
      <c r="AM75" s="383"/>
      <c r="AN75" s="383"/>
      <c r="AO75" s="383"/>
      <c r="AP75" s="383"/>
      <c r="AQ75" s="383"/>
      <c r="AR75" s="383"/>
      <c r="AS75" s="383"/>
      <c r="AT75" s="383"/>
      <c r="AU75" s="383"/>
      <c r="AV75" s="383"/>
      <c r="AW75" s="383"/>
      <c r="AX75" s="383"/>
      <c r="AY75" s="383"/>
      <c r="AZ75" s="383"/>
      <c r="BA75" s="383"/>
      <c r="BB75" s="383"/>
      <c r="BC75" s="384"/>
      <c r="BD75" s="301"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8" t="s">
        <v>667</v>
      </c>
      <c r="EN75" s="274" t="s">
        <v>668</v>
      </c>
      <c r="EO75" s="385">
        <v>1</v>
      </c>
      <c r="EP75" s="385">
        <v>1</v>
      </c>
      <c r="EQ75" s="276">
        <v>1</v>
      </c>
      <c r="ER75" s="276">
        <v>1</v>
      </c>
      <c r="ES75" s="276">
        <v>1</v>
      </c>
      <c r="ET75" s="829">
        <v>1</v>
      </c>
    </row>
    <row r="76" spans="1:150" ht="48" customHeight="1" x14ac:dyDescent="0.2">
      <c r="A76" s="277" t="s">
        <v>53</v>
      </c>
      <c r="B76" s="428" t="s">
        <v>54</v>
      </c>
      <c r="C76" s="429" t="s">
        <v>55</v>
      </c>
      <c r="D76" s="429"/>
      <c r="E76" s="8" t="s">
        <v>641</v>
      </c>
      <c r="F76" s="281" t="str">
        <f t="shared" si="26"/>
        <v>E1.P_D</v>
      </c>
      <c r="G76" s="509" t="s">
        <v>106</v>
      </c>
      <c r="H76" s="510" t="s">
        <v>198</v>
      </c>
      <c r="I76" s="442"/>
      <c r="J76" s="284" t="s">
        <v>61</v>
      </c>
      <c r="K76" s="285" t="str">
        <f t="shared" si="27"/>
        <v>E1.P_D.MR1</v>
      </c>
      <c r="L76" s="511" t="s">
        <v>174</v>
      </c>
      <c r="M76" s="512" t="s">
        <v>532</v>
      </c>
      <c r="N76" s="288">
        <v>1400</v>
      </c>
      <c r="O76" s="491">
        <v>1800</v>
      </c>
      <c r="P76" s="480" t="s">
        <v>156</v>
      </c>
      <c r="Q76" s="492" t="str">
        <f t="shared" si="28"/>
        <v>E1.P_D.MR1-MP08-1</v>
      </c>
      <c r="R76" s="420" t="s">
        <v>671</v>
      </c>
      <c r="S76" s="314" t="s">
        <v>672</v>
      </c>
      <c r="T76" s="380">
        <v>200</v>
      </c>
      <c r="U76" s="381">
        <v>240</v>
      </c>
      <c r="V76" s="380" t="s">
        <v>67</v>
      </c>
      <c r="W76" s="295">
        <v>45</v>
      </c>
      <c r="X76" s="296">
        <v>65</v>
      </c>
      <c r="Y76" s="295">
        <v>65</v>
      </c>
      <c r="Z76" s="297">
        <v>65</v>
      </c>
      <c r="AA76" s="382"/>
      <c r="AB76" s="383"/>
      <c r="AC76" s="383"/>
      <c r="AD76" s="383"/>
      <c r="AE76" s="383"/>
      <c r="AF76" s="383"/>
      <c r="AG76" s="383"/>
      <c r="AH76" s="383"/>
      <c r="AI76" s="383"/>
      <c r="AJ76" s="383"/>
      <c r="AK76" s="383"/>
      <c r="AL76" s="383"/>
      <c r="AM76" s="383"/>
      <c r="AN76" s="383"/>
      <c r="AO76" s="383"/>
      <c r="AP76" s="383"/>
      <c r="AQ76" s="383"/>
      <c r="AR76" s="383"/>
      <c r="AS76" s="383"/>
      <c r="AT76" s="383"/>
      <c r="AU76" s="383"/>
      <c r="AV76" s="383"/>
      <c r="AW76" s="383"/>
      <c r="AX76" s="383"/>
      <c r="AY76" s="383"/>
      <c r="AZ76" s="383"/>
      <c r="BA76" s="383"/>
      <c r="BB76" s="383"/>
      <c r="BC76" s="384"/>
      <c r="BD76" s="301"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8" t="s">
        <v>671</v>
      </c>
      <c r="EN76" s="274" t="s">
        <v>672</v>
      </c>
      <c r="EO76" s="385">
        <v>200</v>
      </c>
      <c r="EP76" s="385">
        <v>240</v>
      </c>
      <c r="EQ76" s="275">
        <v>45</v>
      </c>
      <c r="ER76" s="275">
        <v>65</v>
      </c>
      <c r="ES76" s="275">
        <v>65</v>
      </c>
      <c r="ET76" s="826">
        <v>65</v>
      </c>
    </row>
    <row r="77" spans="1:150" ht="68.25" customHeight="1" x14ac:dyDescent="0.2">
      <c r="A77" s="277" t="s">
        <v>53</v>
      </c>
      <c r="B77" s="428" t="s">
        <v>54</v>
      </c>
      <c r="C77" s="429" t="s">
        <v>55</v>
      </c>
      <c r="D77" s="429"/>
      <c r="E77" s="8" t="s">
        <v>641</v>
      </c>
      <c r="F77" s="281" t="str">
        <f t="shared" si="26"/>
        <v>E1.P_D</v>
      </c>
      <c r="G77" s="509" t="s">
        <v>106</v>
      </c>
      <c r="H77" s="510" t="s">
        <v>198</v>
      </c>
      <c r="I77" s="442"/>
      <c r="J77" s="284" t="s">
        <v>61</v>
      </c>
      <c r="K77" s="285" t="str">
        <f t="shared" si="27"/>
        <v>E1.P_D.MR1</v>
      </c>
      <c r="L77" s="511" t="s">
        <v>174</v>
      </c>
      <c r="M77" s="512" t="s">
        <v>532</v>
      </c>
      <c r="N77" s="288">
        <v>1400</v>
      </c>
      <c r="O77" s="491">
        <v>1800</v>
      </c>
      <c r="P77" s="480" t="s">
        <v>515</v>
      </c>
      <c r="Q77" s="492" t="str">
        <f t="shared" si="28"/>
        <v>E1.P_D.MR1-MP09-1</v>
      </c>
      <c r="R77" s="420" t="s">
        <v>675</v>
      </c>
      <c r="S77" s="314" t="s">
        <v>676</v>
      </c>
      <c r="T77" s="380">
        <v>154</v>
      </c>
      <c r="U77" s="381">
        <v>200</v>
      </c>
      <c r="V77" s="380" t="s">
        <v>67</v>
      </c>
      <c r="W77" s="295">
        <v>50</v>
      </c>
      <c r="X77" s="296">
        <v>50</v>
      </c>
      <c r="Y77" s="295">
        <v>50</v>
      </c>
      <c r="Z77" s="297">
        <v>50</v>
      </c>
      <c r="AA77" s="382"/>
      <c r="AB77" s="383"/>
      <c r="AC77" s="383"/>
      <c r="AD77" s="383"/>
      <c r="AE77" s="383"/>
      <c r="AF77" s="383"/>
      <c r="AG77" s="383"/>
      <c r="AH77" s="383"/>
      <c r="AI77" s="383"/>
      <c r="AJ77" s="383"/>
      <c r="AK77" s="383"/>
      <c r="AL77" s="383"/>
      <c r="AM77" s="383"/>
      <c r="AN77" s="383"/>
      <c r="AO77" s="383"/>
      <c r="AP77" s="383"/>
      <c r="AQ77" s="383"/>
      <c r="AR77" s="383"/>
      <c r="AS77" s="383"/>
      <c r="AT77" s="383"/>
      <c r="AU77" s="383"/>
      <c r="AV77" s="383"/>
      <c r="AW77" s="383"/>
      <c r="AX77" s="383"/>
      <c r="AY77" s="383"/>
      <c r="AZ77" s="383"/>
      <c r="BA77" s="383"/>
      <c r="BB77" s="383"/>
      <c r="BC77" s="384"/>
      <c r="BD77" s="301"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8" t="s">
        <v>675</v>
      </c>
      <c r="EN77" s="274" t="s">
        <v>676</v>
      </c>
      <c r="EO77" s="385">
        <v>154</v>
      </c>
      <c r="EP77" s="385">
        <v>200</v>
      </c>
      <c r="EQ77" s="275">
        <v>50</v>
      </c>
      <c r="ER77" s="275">
        <v>50</v>
      </c>
      <c r="ES77" s="275">
        <v>50</v>
      </c>
      <c r="ET77" s="826">
        <v>50</v>
      </c>
    </row>
    <row r="78" spans="1:150" ht="84" customHeight="1" x14ac:dyDescent="0.2">
      <c r="A78" s="277" t="s">
        <v>53</v>
      </c>
      <c r="B78" s="428" t="s">
        <v>54</v>
      </c>
      <c r="C78" s="429" t="s">
        <v>55</v>
      </c>
      <c r="D78" s="429"/>
      <c r="E78" s="8" t="s">
        <v>641</v>
      </c>
      <c r="F78" s="281" t="str">
        <f t="shared" si="26"/>
        <v>E1.P_D</v>
      </c>
      <c r="G78" s="509" t="s">
        <v>106</v>
      </c>
      <c r="H78" s="510" t="s">
        <v>198</v>
      </c>
      <c r="I78" s="442"/>
      <c r="J78" s="284" t="s">
        <v>61</v>
      </c>
      <c r="K78" s="285" t="str">
        <f t="shared" si="27"/>
        <v>E1.P_D.MR1</v>
      </c>
      <c r="L78" s="511" t="s">
        <v>174</v>
      </c>
      <c r="M78" s="512" t="s">
        <v>532</v>
      </c>
      <c r="N78" s="288">
        <v>1400</v>
      </c>
      <c r="O78" s="491">
        <v>1800</v>
      </c>
      <c r="P78" s="480" t="s">
        <v>522</v>
      </c>
      <c r="Q78" s="492" t="str">
        <f t="shared" si="28"/>
        <v>E1.P_D.MR1-MP10-1</v>
      </c>
      <c r="R78" s="420" t="s">
        <v>679</v>
      </c>
      <c r="S78" s="314" t="s">
        <v>680</v>
      </c>
      <c r="T78" s="319">
        <v>0.1</v>
      </c>
      <c r="U78" s="320">
        <v>1</v>
      </c>
      <c r="V78" s="319" t="s">
        <v>67</v>
      </c>
      <c r="W78" s="321">
        <v>0.25</v>
      </c>
      <c r="X78" s="322">
        <v>0.25</v>
      </c>
      <c r="Y78" s="321">
        <v>0.25</v>
      </c>
      <c r="Z78" s="323">
        <v>0.25</v>
      </c>
      <c r="AA78" s="324"/>
      <c r="AB78" s="325"/>
      <c r="AC78" s="325"/>
      <c r="AD78" s="325"/>
      <c r="AE78" s="325"/>
      <c r="AF78" s="325"/>
      <c r="AG78" s="325"/>
      <c r="AH78" s="325"/>
      <c r="AI78" s="325"/>
      <c r="AJ78" s="325"/>
      <c r="AK78" s="325"/>
      <c r="AL78" s="325"/>
      <c r="AM78" s="325"/>
      <c r="AN78" s="325"/>
      <c r="AO78" s="325"/>
      <c r="AP78" s="325"/>
      <c r="AQ78" s="325"/>
      <c r="AR78" s="325"/>
      <c r="AS78" s="325"/>
      <c r="AT78" s="325"/>
      <c r="AU78" s="325"/>
      <c r="AV78" s="325"/>
      <c r="AW78" s="325"/>
      <c r="AX78" s="325"/>
      <c r="AY78" s="325"/>
      <c r="AZ78" s="325"/>
      <c r="BA78" s="325"/>
      <c r="BB78" s="325"/>
      <c r="BC78" s="326"/>
      <c r="BD78" s="301"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8" t="s">
        <v>679</v>
      </c>
      <c r="EN78" s="274" t="s">
        <v>1897</v>
      </c>
      <c r="EO78" s="329">
        <v>10</v>
      </c>
      <c r="EP78" s="329">
        <v>100</v>
      </c>
      <c r="EQ78" s="329">
        <v>25</v>
      </c>
      <c r="ER78" s="329">
        <v>25</v>
      </c>
      <c r="ES78" s="329">
        <v>25</v>
      </c>
      <c r="ET78" s="825">
        <v>25</v>
      </c>
    </row>
    <row r="79" spans="1:150" ht="82.5" customHeight="1" x14ac:dyDescent="0.2">
      <c r="A79" s="277" t="s">
        <v>53</v>
      </c>
      <c r="B79" s="428" t="s">
        <v>54</v>
      </c>
      <c r="C79" s="429" t="s">
        <v>55</v>
      </c>
      <c r="D79" s="429"/>
      <c r="E79" s="8" t="s">
        <v>641</v>
      </c>
      <c r="F79" s="281" t="str">
        <f t="shared" si="26"/>
        <v>E1.P_D</v>
      </c>
      <c r="G79" s="509" t="s">
        <v>106</v>
      </c>
      <c r="H79" s="510" t="s">
        <v>198</v>
      </c>
      <c r="I79" s="442"/>
      <c r="J79" s="284" t="s">
        <v>61</v>
      </c>
      <c r="K79" s="285" t="str">
        <f t="shared" si="27"/>
        <v>E1.P_D.MR1</v>
      </c>
      <c r="L79" s="511" t="s">
        <v>174</v>
      </c>
      <c r="M79" s="512" t="s">
        <v>532</v>
      </c>
      <c r="N79" s="288">
        <v>1400</v>
      </c>
      <c r="O79" s="491">
        <v>1800</v>
      </c>
      <c r="P79" s="480" t="s">
        <v>610</v>
      </c>
      <c r="Q79" s="492" t="str">
        <f t="shared" si="28"/>
        <v>E1.P_D.MR1-MP11-1</v>
      </c>
      <c r="R79" s="420" t="s">
        <v>683</v>
      </c>
      <c r="S79" s="314" t="s">
        <v>684</v>
      </c>
      <c r="T79" s="293">
        <v>1</v>
      </c>
      <c r="U79" s="294">
        <v>2</v>
      </c>
      <c r="V79" s="293" t="s">
        <v>67</v>
      </c>
      <c r="W79" s="295">
        <v>0</v>
      </c>
      <c r="X79" s="296">
        <v>2</v>
      </c>
      <c r="Y79" s="295">
        <v>0</v>
      </c>
      <c r="Z79" s="297">
        <v>0</v>
      </c>
      <c r="AA79" s="298"/>
      <c r="AB79" s="299"/>
      <c r="AC79" s="299"/>
      <c r="AD79" s="299"/>
      <c r="AE79" s="299"/>
      <c r="AF79" s="299"/>
      <c r="AG79" s="299"/>
      <c r="AH79" s="299"/>
      <c r="AI79" s="299"/>
      <c r="AJ79" s="299"/>
      <c r="AK79" s="299"/>
      <c r="AL79" s="299"/>
      <c r="AM79" s="299"/>
      <c r="AN79" s="299"/>
      <c r="AO79" s="299"/>
      <c r="AP79" s="299"/>
      <c r="AQ79" s="299"/>
      <c r="AR79" s="299"/>
      <c r="AS79" s="299"/>
      <c r="AT79" s="299"/>
      <c r="AU79" s="299"/>
      <c r="AV79" s="299"/>
      <c r="AW79" s="299"/>
      <c r="AX79" s="299"/>
      <c r="AY79" s="299"/>
      <c r="AZ79" s="299"/>
      <c r="BA79" s="299"/>
      <c r="BB79" s="299"/>
      <c r="BC79" s="300"/>
      <c r="BD79" s="301"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8" t="s">
        <v>683</v>
      </c>
      <c r="EN79" s="274" t="s">
        <v>684</v>
      </c>
      <c r="EO79" s="274">
        <v>1</v>
      </c>
      <c r="EP79" s="274">
        <v>2</v>
      </c>
      <c r="EQ79" s="275">
        <v>0</v>
      </c>
      <c r="ER79" s="814">
        <v>0</v>
      </c>
      <c r="ES79" s="815">
        <v>0.5</v>
      </c>
      <c r="ET79" s="824">
        <v>0.5</v>
      </c>
    </row>
    <row r="80" spans="1:150" ht="55.5" customHeight="1" x14ac:dyDescent="0.2">
      <c r="A80" s="277" t="s">
        <v>53</v>
      </c>
      <c r="B80" s="428" t="s">
        <v>54</v>
      </c>
      <c r="C80" s="429" t="s">
        <v>55</v>
      </c>
      <c r="D80" s="429"/>
      <c r="E80" s="8" t="s">
        <v>641</v>
      </c>
      <c r="F80" s="281" t="str">
        <f t="shared" si="26"/>
        <v>E1.P_D</v>
      </c>
      <c r="G80" s="509" t="s">
        <v>106</v>
      </c>
      <c r="H80" s="510" t="s">
        <v>198</v>
      </c>
      <c r="I80" s="442"/>
      <c r="J80" s="284" t="s">
        <v>61</v>
      </c>
      <c r="K80" s="285" t="str">
        <f t="shared" si="27"/>
        <v>E1.P_D.MR1</v>
      </c>
      <c r="L80" s="511" t="s">
        <v>174</v>
      </c>
      <c r="M80" s="512" t="s">
        <v>532</v>
      </c>
      <c r="N80" s="288">
        <v>1400</v>
      </c>
      <c r="O80" s="491">
        <v>1800</v>
      </c>
      <c r="P80" s="480" t="s">
        <v>615</v>
      </c>
      <c r="Q80" s="492" t="str">
        <f t="shared" si="28"/>
        <v>E1.P_D.MR1-MP12-1</v>
      </c>
      <c r="R80" s="420" t="s">
        <v>687</v>
      </c>
      <c r="S80" s="314" t="s">
        <v>688</v>
      </c>
      <c r="T80" s="380">
        <v>55</v>
      </c>
      <c r="U80" s="381">
        <v>57</v>
      </c>
      <c r="V80" s="380" t="s">
        <v>67</v>
      </c>
      <c r="W80" s="295">
        <v>0</v>
      </c>
      <c r="X80" s="296">
        <v>2</v>
      </c>
      <c r="Y80" s="295">
        <v>0</v>
      </c>
      <c r="Z80" s="297">
        <v>0</v>
      </c>
      <c r="AA80" s="382"/>
      <c r="AB80" s="383"/>
      <c r="AC80" s="383"/>
      <c r="AD80" s="383"/>
      <c r="AE80" s="383"/>
      <c r="AF80" s="383"/>
      <c r="AG80" s="383"/>
      <c r="AH80" s="383"/>
      <c r="AI80" s="383"/>
      <c r="AJ80" s="383"/>
      <c r="AK80" s="383"/>
      <c r="AL80" s="383"/>
      <c r="AM80" s="383"/>
      <c r="AN80" s="383"/>
      <c r="AO80" s="383"/>
      <c r="AP80" s="383"/>
      <c r="AQ80" s="383"/>
      <c r="AR80" s="383"/>
      <c r="AS80" s="383"/>
      <c r="AT80" s="383"/>
      <c r="AU80" s="383"/>
      <c r="AV80" s="383"/>
      <c r="AW80" s="383"/>
      <c r="AX80" s="383"/>
      <c r="AY80" s="383"/>
      <c r="AZ80" s="383"/>
      <c r="BA80" s="383"/>
      <c r="BB80" s="383"/>
      <c r="BC80" s="384"/>
      <c r="BD80" s="301"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8" t="s">
        <v>687</v>
      </c>
      <c r="EN80" s="274" t="s">
        <v>688</v>
      </c>
      <c r="EO80" s="837">
        <v>55</v>
      </c>
      <c r="EP80" s="837">
        <v>57</v>
      </c>
      <c r="EQ80" s="806">
        <v>0</v>
      </c>
      <c r="ER80" s="814">
        <v>1</v>
      </c>
      <c r="ES80" s="814">
        <v>1</v>
      </c>
      <c r="ET80" s="836">
        <v>0</v>
      </c>
    </row>
    <row r="81" spans="1:150" ht="69" customHeight="1" thickBot="1" x14ac:dyDescent="0.25">
      <c r="A81" s="277" t="s">
        <v>53</v>
      </c>
      <c r="B81" s="428" t="s">
        <v>54</v>
      </c>
      <c r="C81" s="429" t="s">
        <v>55</v>
      </c>
      <c r="D81" s="429"/>
      <c r="E81" s="8" t="s">
        <v>641</v>
      </c>
      <c r="F81" s="281" t="str">
        <f t="shared" si="26"/>
        <v>E1.P_D</v>
      </c>
      <c r="G81" s="513" t="s">
        <v>106</v>
      </c>
      <c r="H81" s="510" t="s">
        <v>198</v>
      </c>
      <c r="I81" s="446"/>
      <c r="J81" s="340" t="s">
        <v>61</v>
      </c>
      <c r="K81" s="285" t="str">
        <f t="shared" si="27"/>
        <v>E1.P_D.MR1</v>
      </c>
      <c r="L81" s="511" t="s">
        <v>174</v>
      </c>
      <c r="M81" s="512" t="s">
        <v>532</v>
      </c>
      <c r="N81" s="426">
        <v>1400</v>
      </c>
      <c r="O81" s="497">
        <v>1800</v>
      </c>
      <c r="P81" s="480" t="s">
        <v>620</v>
      </c>
      <c r="Q81" s="498" t="str">
        <f t="shared" si="28"/>
        <v>E1.P_D.MR1-MP13-1</v>
      </c>
      <c r="R81" s="475" t="s">
        <v>691</v>
      </c>
      <c r="S81" s="337" t="s">
        <v>688</v>
      </c>
      <c r="T81" s="350">
        <v>1</v>
      </c>
      <c r="U81" s="351">
        <v>1</v>
      </c>
      <c r="V81" s="350" t="s">
        <v>102</v>
      </c>
      <c r="W81" s="394">
        <v>0.25</v>
      </c>
      <c r="X81" s="395">
        <v>0.25</v>
      </c>
      <c r="Y81" s="394">
        <v>0.25</v>
      </c>
      <c r="Z81" s="396">
        <v>0.25</v>
      </c>
      <c r="AA81" s="298"/>
      <c r="AB81" s="299"/>
      <c r="AC81" s="299"/>
      <c r="AD81" s="299"/>
      <c r="AE81" s="299"/>
      <c r="AF81" s="299"/>
      <c r="AG81" s="299"/>
      <c r="AH81" s="299"/>
      <c r="AI81" s="299"/>
      <c r="AJ81" s="299"/>
      <c r="AK81" s="299"/>
      <c r="AL81" s="299"/>
      <c r="AM81" s="299"/>
      <c r="AN81" s="299"/>
      <c r="AO81" s="299"/>
      <c r="AP81" s="299"/>
      <c r="AQ81" s="299"/>
      <c r="AR81" s="299"/>
      <c r="AS81" s="299"/>
      <c r="AT81" s="299"/>
      <c r="AU81" s="299"/>
      <c r="AV81" s="299"/>
      <c r="AW81" s="299"/>
      <c r="AX81" s="299"/>
      <c r="AY81" s="299"/>
      <c r="AZ81" s="299"/>
      <c r="BA81" s="299"/>
      <c r="BB81" s="299"/>
      <c r="BC81" s="300"/>
      <c r="BD81" s="301"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8" t="s">
        <v>691</v>
      </c>
      <c r="EN81" s="807" t="s">
        <v>668</v>
      </c>
      <c r="EO81" s="274">
        <v>1</v>
      </c>
      <c r="EP81" s="274">
        <v>1</v>
      </c>
      <c r="EQ81" s="329">
        <v>1</v>
      </c>
      <c r="ER81" s="329">
        <v>1</v>
      </c>
      <c r="ES81" s="329">
        <v>1</v>
      </c>
      <c r="ET81" s="825">
        <v>1</v>
      </c>
    </row>
    <row r="82" spans="1:150" ht="100.5" customHeight="1" x14ac:dyDescent="0.2">
      <c r="A82" s="277" t="s">
        <v>53</v>
      </c>
      <c r="B82" s="450" t="s">
        <v>54</v>
      </c>
      <c r="C82" s="451" t="s">
        <v>55</v>
      </c>
      <c r="D82" s="430" t="s">
        <v>694</v>
      </c>
      <c r="E82" s="3" t="s">
        <v>695</v>
      </c>
      <c r="F82" s="431" t="str">
        <f t="shared" si="26"/>
        <v>E1.P_E</v>
      </c>
      <c r="G82" s="432" t="s">
        <v>116</v>
      </c>
      <c r="H82" s="477" t="s">
        <v>209</v>
      </c>
      <c r="I82" s="811" t="s">
        <v>696</v>
      </c>
      <c r="J82" s="434" t="s">
        <v>61</v>
      </c>
      <c r="K82" s="398" t="str">
        <f t="shared" si="27"/>
        <v>E1.P_E.MR1</v>
      </c>
      <c r="L82" s="514" t="s">
        <v>183</v>
      </c>
      <c r="M82" s="515" t="s">
        <v>532</v>
      </c>
      <c r="N82" s="247">
        <v>288</v>
      </c>
      <c r="O82" s="247">
        <v>400</v>
      </c>
      <c r="P82" s="516" t="s">
        <v>64</v>
      </c>
      <c r="Q82" s="517" t="str">
        <f t="shared" si="28"/>
        <v>E1.P_E.MR1-MP01-1</v>
      </c>
      <c r="R82" s="518" t="s">
        <v>697</v>
      </c>
      <c r="S82" s="519" t="s">
        <v>698</v>
      </c>
      <c r="T82" s="520">
        <v>0</v>
      </c>
      <c r="U82" s="521">
        <v>1</v>
      </c>
      <c r="V82" s="520" t="s">
        <v>67</v>
      </c>
      <c r="W82" s="522">
        <v>0</v>
      </c>
      <c r="X82" s="523">
        <v>0</v>
      </c>
      <c r="Y82" s="524">
        <v>0.65</v>
      </c>
      <c r="Z82" s="525">
        <v>0.35</v>
      </c>
      <c r="AA82" s="436">
        <f>120000000+119237525+762475</f>
        <v>240000000</v>
      </c>
      <c r="AB82" s="437"/>
      <c r="AC82" s="437">
        <v>0</v>
      </c>
      <c r="AD82" s="437"/>
      <c r="AE82" s="437"/>
      <c r="AF82" s="437"/>
      <c r="AG82" s="437">
        <f t="shared" ref="AG82" si="29">SUM(AA82:AF82)</f>
        <v>240000000</v>
      </c>
      <c r="AH82" s="437">
        <f t="shared" ref="AH82:AT82" si="30">+AA82</f>
        <v>240000000</v>
      </c>
      <c r="AI82" s="437">
        <f t="shared" si="30"/>
        <v>0</v>
      </c>
      <c r="AJ82" s="437">
        <f t="shared" si="30"/>
        <v>0</v>
      </c>
      <c r="AK82" s="437">
        <f t="shared" si="30"/>
        <v>0</v>
      </c>
      <c r="AL82" s="437">
        <f t="shared" si="30"/>
        <v>0</v>
      </c>
      <c r="AM82" s="437">
        <f t="shared" si="30"/>
        <v>0</v>
      </c>
      <c r="AN82" s="437">
        <f t="shared" si="30"/>
        <v>240000000</v>
      </c>
      <c r="AO82" s="437">
        <f t="shared" si="30"/>
        <v>240000000</v>
      </c>
      <c r="AP82" s="437">
        <f t="shared" si="30"/>
        <v>0</v>
      </c>
      <c r="AQ82" s="437">
        <f t="shared" si="30"/>
        <v>0</v>
      </c>
      <c r="AR82" s="437">
        <f t="shared" si="30"/>
        <v>0</v>
      </c>
      <c r="AS82" s="437">
        <f t="shared" si="30"/>
        <v>0</v>
      </c>
      <c r="AT82" s="437">
        <f t="shared" si="30"/>
        <v>0</v>
      </c>
      <c r="AU82" s="437">
        <f t="shared" ref="AU82" si="31">SUM(AO82:AT82)</f>
        <v>240000000</v>
      </c>
      <c r="AV82" s="437">
        <f t="shared" ref="AV82:BA82" si="32">+AO82</f>
        <v>240000000</v>
      </c>
      <c r="AW82" s="437">
        <f t="shared" si="32"/>
        <v>0</v>
      </c>
      <c r="AX82" s="437">
        <f t="shared" si="32"/>
        <v>0</v>
      </c>
      <c r="AY82" s="437">
        <f t="shared" si="32"/>
        <v>0</v>
      </c>
      <c r="AZ82" s="437">
        <f t="shared" si="32"/>
        <v>0</v>
      </c>
      <c r="BA82" s="437">
        <f t="shared" si="32"/>
        <v>0</v>
      </c>
      <c r="BB82" s="437">
        <f t="shared" ref="BB82" si="33">SUM(AV82:BA82)</f>
        <v>240000000</v>
      </c>
      <c r="BC82" s="438">
        <f t="shared" ref="BC82" si="34">+BB82+AU82+AN82+AG82</f>
        <v>960000000</v>
      </c>
      <c r="BD82" s="301"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4" t="s">
        <v>698</v>
      </c>
      <c r="EO82" s="274">
        <v>0</v>
      </c>
      <c r="EP82" s="274">
        <v>1</v>
      </c>
      <c r="EQ82" s="275">
        <v>0</v>
      </c>
      <c r="ER82" s="815">
        <v>0.1</v>
      </c>
      <c r="ES82" s="816">
        <v>0.45</v>
      </c>
      <c r="ET82" s="827">
        <v>0.45</v>
      </c>
    </row>
    <row r="83" spans="1:150" ht="69" customHeight="1" x14ac:dyDescent="0.2">
      <c r="A83" s="277" t="s">
        <v>53</v>
      </c>
      <c r="B83" s="428" t="s">
        <v>54</v>
      </c>
      <c r="C83" s="429" t="s">
        <v>55</v>
      </c>
      <c r="D83" s="429"/>
      <c r="E83" s="8" t="s">
        <v>695</v>
      </c>
      <c r="F83" s="281" t="str">
        <f t="shared" si="26"/>
        <v>E1.P_E</v>
      </c>
      <c r="G83" s="489" t="s">
        <v>116</v>
      </c>
      <c r="H83" s="489" t="s">
        <v>209</v>
      </c>
      <c r="I83" s="442"/>
      <c r="J83" s="284" t="s">
        <v>61</v>
      </c>
      <c r="K83" s="285" t="str">
        <f t="shared" si="27"/>
        <v>E1.P_E.MR1</v>
      </c>
      <c r="L83" s="511" t="s">
        <v>183</v>
      </c>
      <c r="M83" s="512" t="s">
        <v>532</v>
      </c>
      <c r="N83" s="288">
        <v>288</v>
      </c>
      <c r="O83" s="288">
        <v>400</v>
      </c>
      <c r="P83" s="516" t="s">
        <v>87</v>
      </c>
      <c r="Q83" s="526" t="str">
        <f t="shared" si="28"/>
        <v>E1.P_E.MR1-MP02-1</v>
      </c>
      <c r="R83" s="527" t="s">
        <v>702</v>
      </c>
      <c r="S83" s="528" t="s">
        <v>703</v>
      </c>
      <c r="T83" s="529">
        <v>0</v>
      </c>
      <c r="U83" s="530">
        <v>1</v>
      </c>
      <c r="V83" s="529" t="s">
        <v>67</v>
      </c>
      <c r="W83" s="531">
        <v>0.5</v>
      </c>
      <c r="X83" s="532">
        <v>0.5</v>
      </c>
      <c r="Y83" s="533">
        <v>0</v>
      </c>
      <c r="Z83" s="534">
        <v>0</v>
      </c>
      <c r="AA83" s="535"/>
      <c r="AB83" s="536"/>
      <c r="AC83" s="536"/>
      <c r="AD83" s="536"/>
      <c r="AE83" s="536"/>
      <c r="AF83" s="536"/>
      <c r="AG83" s="536"/>
      <c r="AH83" s="536"/>
      <c r="AI83" s="536"/>
      <c r="AJ83" s="536"/>
      <c r="AK83" s="536"/>
      <c r="AL83" s="536"/>
      <c r="AM83" s="536"/>
      <c r="AN83" s="536"/>
      <c r="AO83" s="536"/>
      <c r="AP83" s="536"/>
      <c r="AQ83" s="536"/>
      <c r="AR83" s="536"/>
      <c r="AS83" s="536"/>
      <c r="AT83" s="536"/>
      <c r="AU83" s="536"/>
      <c r="AV83" s="536"/>
      <c r="AW83" s="536"/>
      <c r="AX83" s="536"/>
      <c r="AY83" s="536"/>
      <c r="AZ83" s="536"/>
      <c r="BA83" s="536"/>
      <c r="BB83" s="536"/>
      <c r="BC83" s="537"/>
      <c r="BD83" s="301"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4" t="s">
        <v>703</v>
      </c>
      <c r="EO83" s="274">
        <v>0</v>
      </c>
      <c r="EP83" s="274">
        <v>1</v>
      </c>
      <c r="EQ83" s="276">
        <v>0.5</v>
      </c>
      <c r="ER83" s="276">
        <v>0.5</v>
      </c>
      <c r="ES83" s="275">
        <v>0</v>
      </c>
      <c r="ET83" s="826">
        <v>0</v>
      </c>
    </row>
    <row r="84" spans="1:150" ht="54" customHeight="1" x14ac:dyDescent="0.2">
      <c r="A84" s="277" t="s">
        <v>53</v>
      </c>
      <c r="B84" s="428" t="s">
        <v>54</v>
      </c>
      <c r="C84" s="429" t="s">
        <v>55</v>
      </c>
      <c r="D84" s="429"/>
      <c r="E84" s="8" t="s">
        <v>695</v>
      </c>
      <c r="F84" s="281" t="str">
        <f t="shared" si="26"/>
        <v>E1.P_E</v>
      </c>
      <c r="G84" s="489" t="s">
        <v>116</v>
      </c>
      <c r="H84" s="489" t="s">
        <v>209</v>
      </c>
      <c r="I84" s="442"/>
      <c r="J84" s="284" t="s">
        <v>61</v>
      </c>
      <c r="K84" s="285" t="str">
        <f t="shared" si="27"/>
        <v>E1.P_E.MR1</v>
      </c>
      <c r="L84" s="511" t="s">
        <v>183</v>
      </c>
      <c r="M84" s="512" t="s">
        <v>532</v>
      </c>
      <c r="N84" s="288">
        <v>288</v>
      </c>
      <c r="O84" s="288">
        <v>400</v>
      </c>
      <c r="P84" s="516" t="s">
        <v>99</v>
      </c>
      <c r="Q84" s="526" t="str">
        <f t="shared" si="28"/>
        <v>E1.P_E.MR1-MP03-1</v>
      </c>
      <c r="R84" s="527" t="s">
        <v>706</v>
      </c>
      <c r="S84" s="528" t="s">
        <v>707</v>
      </c>
      <c r="T84" s="538">
        <v>0.4</v>
      </c>
      <c r="U84" s="539">
        <v>1</v>
      </c>
      <c r="V84" s="538" t="s">
        <v>67</v>
      </c>
      <c r="W84" s="533">
        <v>0</v>
      </c>
      <c r="X84" s="532">
        <v>0.3</v>
      </c>
      <c r="Y84" s="531">
        <v>0.6</v>
      </c>
      <c r="Z84" s="540">
        <v>0.1</v>
      </c>
      <c r="AA84" s="541"/>
      <c r="AB84" s="542"/>
      <c r="AC84" s="542"/>
      <c r="AD84" s="542"/>
      <c r="AE84" s="542"/>
      <c r="AF84" s="542"/>
      <c r="AG84" s="542"/>
      <c r="AH84" s="542"/>
      <c r="AI84" s="542"/>
      <c r="AJ84" s="542"/>
      <c r="AK84" s="542"/>
      <c r="AL84" s="542"/>
      <c r="AM84" s="542"/>
      <c r="AN84" s="542"/>
      <c r="AO84" s="542"/>
      <c r="AP84" s="542"/>
      <c r="AQ84" s="542"/>
      <c r="AR84" s="542"/>
      <c r="AS84" s="542"/>
      <c r="AT84" s="542"/>
      <c r="AU84" s="542"/>
      <c r="AV84" s="542"/>
      <c r="AW84" s="542"/>
      <c r="AX84" s="542"/>
      <c r="AY84" s="542"/>
      <c r="AZ84" s="542"/>
      <c r="BA84" s="542"/>
      <c r="BB84" s="542"/>
      <c r="BC84" s="543"/>
      <c r="BD84" s="301"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4" t="s">
        <v>1898</v>
      </c>
      <c r="EO84" s="275">
        <v>40</v>
      </c>
      <c r="EP84" s="275">
        <v>100</v>
      </c>
      <c r="EQ84" s="275">
        <v>0</v>
      </c>
      <c r="ER84" s="815">
        <v>100</v>
      </c>
      <c r="ES84" s="815">
        <v>0</v>
      </c>
      <c r="ET84" s="824">
        <v>0</v>
      </c>
    </row>
    <row r="85" spans="1:150" ht="69" customHeight="1" x14ac:dyDescent="0.2">
      <c r="A85" s="277" t="s">
        <v>53</v>
      </c>
      <c r="B85" s="428" t="s">
        <v>54</v>
      </c>
      <c r="C85" s="429" t="s">
        <v>55</v>
      </c>
      <c r="D85" s="429"/>
      <c r="E85" s="8" t="s">
        <v>695</v>
      </c>
      <c r="F85" s="281" t="str">
        <f t="shared" si="26"/>
        <v>E1.P_E</v>
      </c>
      <c r="G85" s="489" t="s">
        <v>116</v>
      </c>
      <c r="H85" s="489" t="s">
        <v>209</v>
      </c>
      <c r="I85" s="442"/>
      <c r="J85" s="284" t="s">
        <v>61</v>
      </c>
      <c r="K85" s="285" t="str">
        <f t="shared" si="27"/>
        <v>E1.P_E.MR1</v>
      </c>
      <c r="L85" s="511" t="s">
        <v>183</v>
      </c>
      <c r="M85" s="512" t="s">
        <v>532</v>
      </c>
      <c r="N85" s="288">
        <v>288</v>
      </c>
      <c r="O85" s="288">
        <v>400</v>
      </c>
      <c r="P85" s="516" t="s">
        <v>112</v>
      </c>
      <c r="Q85" s="526" t="str">
        <f t="shared" si="28"/>
        <v>E1.P_E.MR1-MP04-1</v>
      </c>
      <c r="R85" s="527" t="s">
        <v>710</v>
      </c>
      <c r="S85" s="528" t="s">
        <v>711</v>
      </c>
      <c r="T85" s="529">
        <v>1</v>
      </c>
      <c r="U85" s="530">
        <v>1</v>
      </c>
      <c r="V85" s="529" t="s">
        <v>102</v>
      </c>
      <c r="W85" s="544">
        <v>0.25</v>
      </c>
      <c r="X85" s="545">
        <v>0.25</v>
      </c>
      <c r="Y85" s="544">
        <v>0.25</v>
      </c>
      <c r="Z85" s="546">
        <v>0.25</v>
      </c>
      <c r="AA85" s="535"/>
      <c r="AB85" s="536"/>
      <c r="AC85" s="536"/>
      <c r="AD85" s="536"/>
      <c r="AE85" s="536"/>
      <c r="AF85" s="536"/>
      <c r="AG85" s="536"/>
      <c r="AH85" s="536"/>
      <c r="AI85" s="536"/>
      <c r="AJ85" s="536"/>
      <c r="AK85" s="536"/>
      <c r="AL85" s="536"/>
      <c r="AM85" s="536"/>
      <c r="AN85" s="536"/>
      <c r="AO85" s="536"/>
      <c r="AP85" s="536"/>
      <c r="AQ85" s="536"/>
      <c r="AR85" s="536"/>
      <c r="AS85" s="536"/>
      <c r="AT85" s="536"/>
      <c r="AU85" s="536"/>
      <c r="AV85" s="536"/>
      <c r="AW85" s="536"/>
      <c r="AX85" s="536"/>
      <c r="AY85" s="536"/>
      <c r="AZ85" s="536"/>
      <c r="BA85" s="536"/>
      <c r="BB85" s="536"/>
      <c r="BC85" s="537"/>
      <c r="BD85" s="301"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4" t="s">
        <v>711</v>
      </c>
      <c r="EO85" s="274">
        <v>1</v>
      </c>
      <c r="EP85" s="274">
        <v>1</v>
      </c>
      <c r="EQ85" s="329">
        <v>1</v>
      </c>
      <c r="ER85" s="329">
        <v>1</v>
      </c>
      <c r="ES85" s="329">
        <v>1</v>
      </c>
      <c r="ET85" s="825">
        <v>1</v>
      </c>
    </row>
    <row r="86" spans="1:150" ht="57.75" customHeight="1" thickBot="1" x14ac:dyDescent="0.25">
      <c r="A86" s="277" t="s">
        <v>53</v>
      </c>
      <c r="B86" s="428" t="s">
        <v>54</v>
      </c>
      <c r="C86" s="429" t="s">
        <v>55</v>
      </c>
      <c r="D86" s="429"/>
      <c r="E86" s="8" t="s">
        <v>695</v>
      </c>
      <c r="F86" s="281" t="str">
        <f t="shared" si="26"/>
        <v>E1.P_E</v>
      </c>
      <c r="G86" s="494" t="s">
        <v>116</v>
      </c>
      <c r="H86" s="494" t="s">
        <v>209</v>
      </c>
      <c r="I86" s="446"/>
      <c r="J86" s="340" t="s">
        <v>61</v>
      </c>
      <c r="K86" s="400" t="str">
        <f t="shared" si="27"/>
        <v>E1.P_E.MR1</v>
      </c>
      <c r="L86" s="547" t="s">
        <v>183</v>
      </c>
      <c r="M86" s="548" t="s">
        <v>532</v>
      </c>
      <c r="N86" s="426">
        <v>288</v>
      </c>
      <c r="O86" s="426">
        <v>400</v>
      </c>
      <c r="P86" s="516" t="s">
        <v>122</v>
      </c>
      <c r="Q86" s="549" t="str">
        <f t="shared" si="28"/>
        <v>E1.P_E.MR1-MP05-1</v>
      </c>
      <c r="R86" s="550" t="s">
        <v>714</v>
      </c>
      <c r="S86" s="551" t="s">
        <v>715</v>
      </c>
      <c r="T86" s="552">
        <v>8</v>
      </c>
      <c r="U86" s="553">
        <v>10</v>
      </c>
      <c r="V86" s="552" t="s">
        <v>67</v>
      </c>
      <c r="W86" s="554">
        <v>3</v>
      </c>
      <c r="X86" s="555">
        <v>3</v>
      </c>
      <c r="Y86" s="554">
        <v>2</v>
      </c>
      <c r="Z86" s="556">
        <v>2</v>
      </c>
      <c r="AA86" s="535"/>
      <c r="AB86" s="536"/>
      <c r="AC86" s="536"/>
      <c r="AD86" s="536"/>
      <c r="AE86" s="536"/>
      <c r="AF86" s="536"/>
      <c r="AG86" s="536"/>
      <c r="AH86" s="536"/>
      <c r="AI86" s="536"/>
      <c r="AJ86" s="536"/>
      <c r="AK86" s="536"/>
      <c r="AL86" s="536"/>
      <c r="AM86" s="536"/>
      <c r="AN86" s="536"/>
      <c r="AO86" s="536"/>
      <c r="AP86" s="536"/>
      <c r="AQ86" s="536"/>
      <c r="AR86" s="536"/>
      <c r="AS86" s="536"/>
      <c r="AT86" s="536"/>
      <c r="AU86" s="536"/>
      <c r="AV86" s="536"/>
      <c r="AW86" s="536"/>
      <c r="AX86" s="536"/>
      <c r="AY86" s="536"/>
      <c r="AZ86" s="536"/>
      <c r="BA86" s="536"/>
      <c r="BB86" s="536"/>
      <c r="BC86" s="537"/>
      <c r="BD86" s="301"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4" t="s">
        <v>715</v>
      </c>
      <c r="EO86" s="274">
        <v>8</v>
      </c>
      <c r="EP86" s="274">
        <v>10</v>
      </c>
      <c r="EQ86" s="275">
        <v>3</v>
      </c>
      <c r="ER86" s="814">
        <v>2</v>
      </c>
      <c r="ES86" s="814">
        <v>3</v>
      </c>
      <c r="ET86" s="826">
        <v>2</v>
      </c>
    </row>
    <row r="87" spans="1:150" ht="139.5" customHeight="1" x14ac:dyDescent="0.2">
      <c r="A87" s="277" t="s">
        <v>53</v>
      </c>
      <c r="B87" s="428" t="s">
        <v>54</v>
      </c>
      <c r="C87" s="429" t="s">
        <v>55</v>
      </c>
      <c r="D87" s="430" t="s">
        <v>694</v>
      </c>
      <c r="E87" s="3" t="s">
        <v>718</v>
      </c>
      <c r="F87" s="431" t="str">
        <f t="shared" si="26"/>
        <v>E1.P_F</v>
      </c>
      <c r="G87" s="432" t="s">
        <v>126</v>
      </c>
      <c r="H87" s="477" t="s">
        <v>224</v>
      </c>
      <c r="I87" s="453" t="s">
        <v>719</v>
      </c>
      <c r="J87" s="454" t="s">
        <v>61</v>
      </c>
      <c r="K87" s="455" t="str">
        <f t="shared" si="27"/>
        <v>E1.P_F.MR1</v>
      </c>
      <c r="L87" s="360" t="s">
        <v>194</v>
      </c>
      <c r="M87" s="361" t="s">
        <v>720</v>
      </c>
      <c r="N87" s="362">
        <v>1</v>
      </c>
      <c r="O87" s="247">
        <v>4</v>
      </c>
      <c r="P87" s="376" t="s">
        <v>64</v>
      </c>
      <c r="Q87" s="365" t="str">
        <f t="shared" si="28"/>
        <v>E1.P_F.MR1-MP01-1</v>
      </c>
      <c r="R87" s="416" t="s">
        <v>721</v>
      </c>
      <c r="S87" s="367" t="s">
        <v>722</v>
      </c>
      <c r="T87" s="368">
        <v>0</v>
      </c>
      <c r="U87" s="369">
        <v>2</v>
      </c>
      <c r="V87" s="368" t="s">
        <v>67</v>
      </c>
      <c r="W87" s="255">
        <v>0</v>
      </c>
      <c r="X87" s="370">
        <v>0</v>
      </c>
      <c r="Y87" s="255">
        <v>1</v>
      </c>
      <c r="Z87" s="371">
        <v>0</v>
      </c>
      <c r="AA87" s="436">
        <f>842628725+455000000+91274910+470084400+121736000+14277900+792806407+43072995+54590+61600-1000888865-264000000</f>
        <v>1566108662</v>
      </c>
      <c r="AB87" s="437">
        <f>1295389438+89172574</f>
        <v>1384562012</v>
      </c>
      <c r="AC87" s="437">
        <v>0</v>
      </c>
      <c r="AD87" s="437"/>
      <c r="AE87" s="437"/>
      <c r="AF87" s="437">
        <f>14467695+95861631</f>
        <v>110329326</v>
      </c>
      <c r="AG87" s="437">
        <f t="shared" ref="AG87" si="35">SUM(AA87:AF87)</f>
        <v>3061000000</v>
      </c>
      <c r="AH87" s="437">
        <f t="shared" ref="AH87:AT87" si="36">+AA87</f>
        <v>1566108662</v>
      </c>
      <c r="AI87" s="437">
        <f t="shared" si="36"/>
        <v>1384562012</v>
      </c>
      <c r="AJ87" s="437">
        <f t="shared" si="36"/>
        <v>0</v>
      </c>
      <c r="AK87" s="437">
        <f t="shared" si="36"/>
        <v>0</v>
      </c>
      <c r="AL87" s="437">
        <f t="shared" si="36"/>
        <v>0</v>
      </c>
      <c r="AM87" s="437">
        <f t="shared" si="36"/>
        <v>110329326</v>
      </c>
      <c r="AN87" s="437">
        <f t="shared" si="36"/>
        <v>3061000000</v>
      </c>
      <c r="AO87" s="437">
        <f t="shared" si="36"/>
        <v>1566108662</v>
      </c>
      <c r="AP87" s="437">
        <f t="shared" si="36"/>
        <v>1384562012</v>
      </c>
      <c r="AQ87" s="437">
        <f t="shared" si="36"/>
        <v>0</v>
      </c>
      <c r="AR87" s="437">
        <f t="shared" si="36"/>
        <v>0</v>
      </c>
      <c r="AS87" s="437">
        <f t="shared" si="36"/>
        <v>0</v>
      </c>
      <c r="AT87" s="437">
        <f t="shared" si="36"/>
        <v>110329326</v>
      </c>
      <c r="AU87" s="437">
        <f t="shared" ref="AU87" si="37">SUM(AO87:AT87)</f>
        <v>3061000000</v>
      </c>
      <c r="AV87" s="437">
        <f t="shared" ref="AV87:BA87" si="38">+AO87</f>
        <v>1566108662</v>
      </c>
      <c r="AW87" s="437">
        <f t="shared" si="38"/>
        <v>1384562012</v>
      </c>
      <c r="AX87" s="437">
        <f t="shared" si="38"/>
        <v>0</v>
      </c>
      <c r="AY87" s="437">
        <f t="shared" si="38"/>
        <v>0</v>
      </c>
      <c r="AZ87" s="437">
        <f t="shared" si="38"/>
        <v>0</v>
      </c>
      <c r="BA87" s="437">
        <f t="shared" si="38"/>
        <v>110329326</v>
      </c>
      <c r="BB87" s="437">
        <f t="shared" ref="BB87" si="39">SUM(AV87:BA87)</f>
        <v>3061000000</v>
      </c>
      <c r="BC87" s="438">
        <f t="shared" ref="BC87" si="40">+BB87+AU87+AN87+AG87</f>
        <v>12244000000</v>
      </c>
      <c r="BD87" s="301"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8" t="s">
        <v>721</v>
      </c>
      <c r="EN87" s="274" t="s">
        <v>722</v>
      </c>
      <c r="EO87" s="274">
        <v>0</v>
      </c>
      <c r="EP87" s="274">
        <v>2</v>
      </c>
      <c r="EQ87" s="806">
        <v>0</v>
      </c>
      <c r="ER87" s="814">
        <v>0</v>
      </c>
      <c r="ES87" s="806">
        <v>1</v>
      </c>
      <c r="ET87" s="830">
        <v>1</v>
      </c>
    </row>
    <row r="88" spans="1:150" ht="48" customHeight="1" x14ac:dyDescent="0.2">
      <c r="A88" s="277" t="s">
        <v>53</v>
      </c>
      <c r="B88" s="557" t="s">
        <v>54</v>
      </c>
      <c r="C88" s="280" t="s">
        <v>55</v>
      </c>
      <c r="D88" s="280"/>
      <c r="E88" s="8" t="s">
        <v>718</v>
      </c>
      <c r="F88" s="281" t="str">
        <f t="shared" si="26"/>
        <v>E1.P_F</v>
      </c>
      <c r="G88" s="558" t="s">
        <v>126</v>
      </c>
      <c r="H88" s="558" t="s">
        <v>224</v>
      </c>
      <c r="I88" s="456"/>
      <c r="J88" s="457" t="s">
        <v>61</v>
      </c>
      <c r="K88" s="373" t="str">
        <f t="shared" si="27"/>
        <v>E1.P_F.MR1</v>
      </c>
      <c r="L88" s="511" t="s">
        <v>194</v>
      </c>
      <c r="M88" s="512" t="s">
        <v>720</v>
      </c>
      <c r="N88" s="374">
        <v>1</v>
      </c>
      <c r="O88" s="288">
        <v>4</v>
      </c>
      <c r="P88" s="376" t="s">
        <v>87</v>
      </c>
      <c r="Q88" s="377" t="str">
        <f t="shared" si="28"/>
        <v>E1.P_F.MR1-MP02-1</v>
      </c>
      <c r="R88" s="420" t="s">
        <v>725</v>
      </c>
      <c r="S88" s="314" t="s">
        <v>726</v>
      </c>
      <c r="T88" s="293">
        <v>0</v>
      </c>
      <c r="U88" s="294">
        <v>3</v>
      </c>
      <c r="V88" s="293" t="s">
        <v>67</v>
      </c>
      <c r="W88" s="295">
        <v>0</v>
      </c>
      <c r="X88" s="296">
        <v>2</v>
      </c>
      <c r="Y88" s="295">
        <v>1</v>
      </c>
      <c r="Z88" s="297">
        <v>0</v>
      </c>
      <c r="AA88" s="298"/>
      <c r="AB88" s="299"/>
      <c r="AC88" s="299"/>
      <c r="AD88" s="299"/>
      <c r="AE88" s="299"/>
      <c r="AF88" s="299"/>
      <c r="AG88" s="299"/>
      <c r="AH88" s="299"/>
      <c r="AI88" s="299"/>
      <c r="AJ88" s="299"/>
      <c r="AK88" s="299"/>
      <c r="AL88" s="299"/>
      <c r="AM88" s="299"/>
      <c r="AN88" s="299"/>
      <c r="AO88" s="299"/>
      <c r="AP88" s="299"/>
      <c r="AQ88" s="299"/>
      <c r="AR88" s="299"/>
      <c r="AS88" s="299"/>
      <c r="AT88" s="299"/>
      <c r="AU88" s="299"/>
      <c r="AV88" s="299"/>
      <c r="AW88" s="299"/>
      <c r="AX88" s="299"/>
      <c r="AY88" s="299"/>
      <c r="AZ88" s="299"/>
      <c r="BA88" s="299"/>
      <c r="BB88" s="299"/>
      <c r="BC88" s="300"/>
      <c r="BD88" s="301"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8" t="s">
        <v>725</v>
      </c>
      <c r="EN88" s="274" t="s">
        <v>726</v>
      </c>
      <c r="EO88" s="274">
        <v>0</v>
      </c>
      <c r="EP88" s="274">
        <v>3</v>
      </c>
      <c r="EQ88" s="275">
        <v>0</v>
      </c>
      <c r="ER88" s="275">
        <v>2</v>
      </c>
      <c r="ES88" s="275">
        <v>1</v>
      </c>
      <c r="ET88" s="826">
        <v>0</v>
      </c>
    </row>
    <row r="89" spans="1:150" ht="54" customHeight="1" x14ac:dyDescent="0.2">
      <c r="A89" s="277" t="s">
        <v>53</v>
      </c>
      <c r="B89" s="557" t="s">
        <v>54</v>
      </c>
      <c r="C89" s="280" t="s">
        <v>55</v>
      </c>
      <c r="D89" s="280"/>
      <c r="E89" s="8" t="s">
        <v>718</v>
      </c>
      <c r="F89" s="281" t="str">
        <f t="shared" si="26"/>
        <v>E1.P_F</v>
      </c>
      <c r="G89" s="558" t="s">
        <v>126</v>
      </c>
      <c r="H89" s="558" t="s">
        <v>224</v>
      </c>
      <c r="I89" s="456"/>
      <c r="J89" s="457" t="s">
        <v>61</v>
      </c>
      <c r="K89" s="373" t="str">
        <f t="shared" si="27"/>
        <v>E1.P_F.MR1</v>
      </c>
      <c r="L89" s="511" t="s">
        <v>194</v>
      </c>
      <c r="M89" s="512" t="s">
        <v>720</v>
      </c>
      <c r="N89" s="374">
        <v>1</v>
      </c>
      <c r="O89" s="288">
        <v>4</v>
      </c>
      <c r="P89" s="376" t="s">
        <v>99</v>
      </c>
      <c r="Q89" s="377" t="str">
        <f t="shared" si="28"/>
        <v>E1.P_F.MR1-MP03-1</v>
      </c>
      <c r="R89" s="420" t="s">
        <v>729</v>
      </c>
      <c r="S89" s="314" t="s">
        <v>730</v>
      </c>
      <c r="T89" s="319">
        <v>0.7</v>
      </c>
      <c r="U89" s="320">
        <v>1</v>
      </c>
      <c r="V89" s="319" t="s">
        <v>67</v>
      </c>
      <c r="W89" s="315">
        <v>0.3</v>
      </c>
      <c r="X89" s="296">
        <v>0</v>
      </c>
      <c r="Y89" s="295">
        <v>0</v>
      </c>
      <c r="Z89" s="297">
        <v>0</v>
      </c>
      <c r="AA89" s="324"/>
      <c r="AB89" s="325"/>
      <c r="AC89" s="325"/>
      <c r="AD89" s="325"/>
      <c r="AE89" s="325"/>
      <c r="AF89" s="325"/>
      <c r="AG89" s="325"/>
      <c r="AH89" s="325"/>
      <c r="AI89" s="325"/>
      <c r="AJ89" s="325"/>
      <c r="AK89" s="325"/>
      <c r="AL89" s="325"/>
      <c r="AM89" s="325"/>
      <c r="AN89" s="325"/>
      <c r="AO89" s="325"/>
      <c r="AP89" s="325"/>
      <c r="AQ89" s="325"/>
      <c r="AR89" s="325"/>
      <c r="AS89" s="325"/>
      <c r="AT89" s="325"/>
      <c r="AU89" s="325"/>
      <c r="AV89" s="325"/>
      <c r="AW89" s="325"/>
      <c r="AX89" s="325"/>
      <c r="AY89" s="325"/>
      <c r="AZ89" s="325"/>
      <c r="BA89" s="325"/>
      <c r="BB89" s="325"/>
      <c r="BC89" s="326"/>
      <c r="BD89" s="301"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8" t="s">
        <v>729</v>
      </c>
      <c r="EN89" s="274" t="s">
        <v>1899</v>
      </c>
      <c r="EO89" s="805">
        <v>70</v>
      </c>
      <c r="EP89" s="805">
        <v>100</v>
      </c>
      <c r="EQ89" s="805">
        <v>30</v>
      </c>
      <c r="ER89" s="814">
        <v>25</v>
      </c>
      <c r="ES89" s="814">
        <v>25</v>
      </c>
      <c r="ET89" s="830">
        <v>20</v>
      </c>
    </row>
    <row r="90" spans="1:150" ht="48.75" customHeight="1" thickBot="1" x14ac:dyDescent="0.25">
      <c r="A90" s="277" t="s">
        <v>53</v>
      </c>
      <c r="B90" s="557" t="s">
        <v>54</v>
      </c>
      <c r="C90" s="280" t="s">
        <v>55</v>
      </c>
      <c r="D90" s="280"/>
      <c r="E90" s="8" t="s">
        <v>718</v>
      </c>
      <c r="F90" s="281" t="str">
        <f t="shared" si="26"/>
        <v>E1.P_F</v>
      </c>
      <c r="G90" s="558" t="s">
        <v>126</v>
      </c>
      <c r="H90" s="558" t="s">
        <v>224</v>
      </c>
      <c r="I90" s="462"/>
      <c r="J90" s="463" t="s">
        <v>61</v>
      </c>
      <c r="K90" s="464" t="str">
        <f t="shared" si="27"/>
        <v>E1.P_F.MR1</v>
      </c>
      <c r="L90" s="547" t="s">
        <v>194</v>
      </c>
      <c r="M90" s="548" t="s">
        <v>720</v>
      </c>
      <c r="N90" s="388">
        <v>1</v>
      </c>
      <c r="O90" s="426">
        <v>4</v>
      </c>
      <c r="P90" s="376" t="s">
        <v>112</v>
      </c>
      <c r="Q90" s="391" t="str">
        <f t="shared" si="28"/>
        <v>E1.P_F.MR1-MP04-1</v>
      </c>
      <c r="R90" s="475" t="s">
        <v>733</v>
      </c>
      <c r="S90" s="337" t="s">
        <v>734</v>
      </c>
      <c r="T90" s="559">
        <v>0.9</v>
      </c>
      <c r="U90" s="560">
        <v>1</v>
      </c>
      <c r="V90" s="559" t="s">
        <v>67</v>
      </c>
      <c r="W90" s="402">
        <v>0.1</v>
      </c>
      <c r="X90" s="353">
        <v>0</v>
      </c>
      <c r="Y90" s="352">
        <v>0</v>
      </c>
      <c r="Z90" s="354">
        <v>0</v>
      </c>
      <c r="AA90" s="324"/>
      <c r="AB90" s="325"/>
      <c r="AC90" s="325"/>
      <c r="AD90" s="325"/>
      <c r="AE90" s="325"/>
      <c r="AF90" s="325"/>
      <c r="AG90" s="325"/>
      <c r="AH90" s="325"/>
      <c r="AI90" s="325"/>
      <c r="AJ90" s="325"/>
      <c r="AK90" s="325"/>
      <c r="AL90" s="325"/>
      <c r="AM90" s="325"/>
      <c r="AN90" s="325"/>
      <c r="AO90" s="325"/>
      <c r="AP90" s="325"/>
      <c r="AQ90" s="325"/>
      <c r="AR90" s="325"/>
      <c r="AS90" s="325"/>
      <c r="AT90" s="325"/>
      <c r="AU90" s="325"/>
      <c r="AV90" s="325"/>
      <c r="AW90" s="325"/>
      <c r="AX90" s="325"/>
      <c r="AY90" s="325"/>
      <c r="AZ90" s="325"/>
      <c r="BA90" s="325"/>
      <c r="BB90" s="325"/>
      <c r="BC90" s="326"/>
      <c r="BD90" s="301"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8" t="s">
        <v>733</v>
      </c>
      <c r="EN90" s="274" t="s">
        <v>1900</v>
      </c>
      <c r="EO90" s="805">
        <v>90</v>
      </c>
      <c r="EP90" s="805">
        <v>100</v>
      </c>
      <c r="EQ90" s="805">
        <v>10</v>
      </c>
      <c r="ER90" s="814">
        <v>90</v>
      </c>
      <c r="ES90" s="806">
        <v>0</v>
      </c>
      <c r="ET90" s="836">
        <v>0</v>
      </c>
    </row>
    <row r="91" spans="1:150" ht="134.25" customHeight="1" x14ac:dyDescent="0.2">
      <c r="A91" s="277" t="s">
        <v>53</v>
      </c>
      <c r="B91" s="428" t="s">
        <v>54</v>
      </c>
      <c r="C91" s="429" t="s">
        <v>55</v>
      </c>
      <c r="D91" s="429"/>
      <c r="E91" s="8" t="s">
        <v>718</v>
      </c>
      <c r="F91" s="281" t="str">
        <f t="shared" si="26"/>
        <v>E1.P_F</v>
      </c>
      <c r="G91" s="452" t="s">
        <v>126</v>
      </c>
      <c r="H91" s="452" t="s">
        <v>224</v>
      </c>
      <c r="I91" s="453" t="s">
        <v>737</v>
      </c>
      <c r="J91" s="454" t="s">
        <v>167</v>
      </c>
      <c r="K91" s="455" t="str">
        <f t="shared" si="27"/>
        <v>E1.P_F.MR2</v>
      </c>
      <c r="L91" s="360" t="s">
        <v>205</v>
      </c>
      <c r="M91" s="361" t="s">
        <v>532</v>
      </c>
      <c r="N91" s="362">
        <v>2598</v>
      </c>
      <c r="O91" s="247">
        <v>3100</v>
      </c>
      <c r="P91" s="376" t="s">
        <v>64</v>
      </c>
      <c r="Q91" s="365" t="str">
        <f t="shared" si="28"/>
        <v>E1.P_F.MR2-MP01-1</v>
      </c>
      <c r="R91" s="416" t="s">
        <v>738</v>
      </c>
      <c r="S91" s="367" t="s">
        <v>739</v>
      </c>
      <c r="T91" s="368">
        <v>1</v>
      </c>
      <c r="U91" s="369">
        <v>1</v>
      </c>
      <c r="V91" s="368" t="s">
        <v>102</v>
      </c>
      <c r="W91" s="561">
        <v>0.25</v>
      </c>
      <c r="X91" s="562">
        <v>0.25</v>
      </c>
      <c r="Y91" s="561">
        <v>0.25</v>
      </c>
      <c r="Z91" s="563">
        <v>0.25</v>
      </c>
      <c r="AA91" s="298"/>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300"/>
      <c r="BD91" s="301"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8" t="s">
        <v>738</v>
      </c>
      <c r="EN91" s="274" t="s">
        <v>739</v>
      </c>
      <c r="EO91" s="274">
        <v>1</v>
      </c>
      <c r="EP91" s="274">
        <v>1</v>
      </c>
      <c r="EQ91" s="329">
        <v>1</v>
      </c>
      <c r="ER91" s="329">
        <v>1</v>
      </c>
      <c r="ES91" s="329">
        <v>1</v>
      </c>
      <c r="ET91" s="825">
        <v>1</v>
      </c>
    </row>
    <row r="92" spans="1:150" ht="61.5" customHeight="1" x14ac:dyDescent="0.2">
      <c r="A92" s="277" t="s">
        <v>53</v>
      </c>
      <c r="B92" s="428" t="s">
        <v>54</v>
      </c>
      <c r="C92" s="429" t="s">
        <v>55</v>
      </c>
      <c r="D92" s="429"/>
      <c r="E92" s="8" t="s">
        <v>718</v>
      </c>
      <c r="F92" s="281" t="str">
        <f t="shared" si="26"/>
        <v>E1.P_F</v>
      </c>
      <c r="G92" s="452" t="s">
        <v>126</v>
      </c>
      <c r="H92" s="452" t="s">
        <v>224</v>
      </c>
      <c r="I92" s="456"/>
      <c r="J92" s="457" t="s">
        <v>167</v>
      </c>
      <c r="K92" s="373" t="str">
        <f t="shared" si="27"/>
        <v>E1.P_F.MR2</v>
      </c>
      <c r="L92" s="511" t="s">
        <v>205</v>
      </c>
      <c r="M92" s="512" t="s">
        <v>532</v>
      </c>
      <c r="N92" s="374">
        <v>2598</v>
      </c>
      <c r="O92" s="288">
        <v>3100</v>
      </c>
      <c r="P92" s="376" t="s">
        <v>87</v>
      </c>
      <c r="Q92" s="377" t="str">
        <f t="shared" si="28"/>
        <v>E1.P_F.MR2-MP02-1</v>
      </c>
      <c r="R92" s="420" t="s">
        <v>742</v>
      </c>
      <c r="S92" s="314" t="s">
        <v>433</v>
      </c>
      <c r="T92" s="293">
        <v>3</v>
      </c>
      <c r="U92" s="294">
        <v>3</v>
      </c>
      <c r="V92" s="293" t="s">
        <v>102</v>
      </c>
      <c r="W92" s="315">
        <v>0.5</v>
      </c>
      <c r="X92" s="330">
        <v>0.5</v>
      </c>
      <c r="Y92" s="295">
        <v>1</v>
      </c>
      <c r="Z92" s="297">
        <v>1</v>
      </c>
      <c r="AA92" s="298"/>
      <c r="AB92" s="299"/>
      <c r="AC92" s="299"/>
      <c r="AD92" s="299"/>
      <c r="AE92" s="299"/>
      <c r="AF92" s="299"/>
      <c r="AG92" s="299"/>
      <c r="AH92" s="299"/>
      <c r="AI92" s="299"/>
      <c r="AJ92" s="299"/>
      <c r="AK92" s="299"/>
      <c r="AL92" s="299"/>
      <c r="AM92" s="299"/>
      <c r="AN92" s="299"/>
      <c r="AO92" s="299"/>
      <c r="AP92" s="299"/>
      <c r="AQ92" s="299"/>
      <c r="AR92" s="299"/>
      <c r="AS92" s="299"/>
      <c r="AT92" s="299"/>
      <c r="AU92" s="299"/>
      <c r="AV92" s="299"/>
      <c r="AW92" s="299"/>
      <c r="AX92" s="299"/>
      <c r="AY92" s="299"/>
      <c r="AZ92" s="299"/>
      <c r="BA92" s="299"/>
      <c r="BB92" s="299"/>
      <c r="BC92" s="300"/>
      <c r="BD92" s="301"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8" t="s">
        <v>742</v>
      </c>
      <c r="EN92" s="274" t="s">
        <v>433</v>
      </c>
      <c r="EO92" s="274">
        <v>3</v>
      </c>
      <c r="EP92" s="274">
        <v>3</v>
      </c>
      <c r="EQ92" s="276">
        <v>3</v>
      </c>
      <c r="ER92" s="276">
        <v>3</v>
      </c>
      <c r="ES92" s="275">
        <v>3</v>
      </c>
      <c r="ET92" s="826">
        <v>3</v>
      </c>
    </row>
    <row r="93" spans="1:150" ht="43.5" customHeight="1" x14ac:dyDescent="0.2">
      <c r="A93" s="277" t="s">
        <v>53</v>
      </c>
      <c r="B93" s="428" t="s">
        <v>54</v>
      </c>
      <c r="C93" s="429" t="s">
        <v>55</v>
      </c>
      <c r="D93" s="429"/>
      <c r="E93" s="8" t="s">
        <v>718</v>
      </c>
      <c r="F93" s="281" t="str">
        <f t="shared" si="26"/>
        <v>E1.P_F</v>
      </c>
      <c r="G93" s="452" t="s">
        <v>126</v>
      </c>
      <c r="H93" s="452" t="s">
        <v>224</v>
      </c>
      <c r="I93" s="456"/>
      <c r="J93" s="457" t="s">
        <v>167</v>
      </c>
      <c r="K93" s="373" t="str">
        <f t="shared" si="27"/>
        <v>E1.P_F.MR2</v>
      </c>
      <c r="L93" s="511" t="s">
        <v>205</v>
      </c>
      <c r="M93" s="512" t="s">
        <v>532</v>
      </c>
      <c r="N93" s="374">
        <v>2598</v>
      </c>
      <c r="O93" s="288">
        <v>3100</v>
      </c>
      <c r="P93" s="376" t="s">
        <v>99</v>
      </c>
      <c r="Q93" s="377" t="str">
        <f t="shared" si="28"/>
        <v>E1.P_F.MR2-MP03-1</v>
      </c>
      <c r="R93" s="420" t="s">
        <v>745</v>
      </c>
      <c r="S93" s="314" t="s">
        <v>746</v>
      </c>
      <c r="T93" s="293">
        <v>1</v>
      </c>
      <c r="U93" s="294">
        <v>1</v>
      </c>
      <c r="V93" s="293" t="s">
        <v>102</v>
      </c>
      <c r="W93" s="321">
        <v>0.25</v>
      </c>
      <c r="X93" s="322">
        <v>0.25</v>
      </c>
      <c r="Y93" s="321">
        <v>0.25</v>
      </c>
      <c r="Z93" s="323">
        <v>0.25</v>
      </c>
      <c r="AA93" s="298"/>
      <c r="AB93" s="299"/>
      <c r="AC93" s="299"/>
      <c r="AD93" s="299"/>
      <c r="AE93" s="299"/>
      <c r="AF93" s="299"/>
      <c r="AG93" s="299"/>
      <c r="AH93" s="299"/>
      <c r="AI93" s="299"/>
      <c r="AJ93" s="299"/>
      <c r="AK93" s="299"/>
      <c r="AL93" s="299"/>
      <c r="AM93" s="299"/>
      <c r="AN93" s="299"/>
      <c r="AO93" s="299"/>
      <c r="AP93" s="299"/>
      <c r="AQ93" s="299"/>
      <c r="AR93" s="299"/>
      <c r="AS93" s="299"/>
      <c r="AT93" s="299"/>
      <c r="AU93" s="299"/>
      <c r="AV93" s="299"/>
      <c r="AW93" s="299"/>
      <c r="AX93" s="299"/>
      <c r="AY93" s="299"/>
      <c r="AZ93" s="299"/>
      <c r="BA93" s="299"/>
      <c r="BB93" s="299"/>
      <c r="BC93" s="300"/>
      <c r="BD93" s="301"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8" t="s">
        <v>745</v>
      </c>
      <c r="EN93" s="274" t="s">
        <v>746</v>
      </c>
      <c r="EO93" s="274">
        <v>1</v>
      </c>
      <c r="EP93" s="274">
        <v>1</v>
      </c>
      <c r="EQ93" s="329">
        <v>1</v>
      </c>
      <c r="ER93" s="329">
        <v>1</v>
      </c>
      <c r="ES93" s="329">
        <v>1</v>
      </c>
      <c r="ET93" s="825">
        <v>1</v>
      </c>
    </row>
    <row r="94" spans="1:150" ht="48" customHeight="1" thickBot="1" x14ac:dyDescent="0.25">
      <c r="A94" s="277" t="s">
        <v>53</v>
      </c>
      <c r="B94" s="428" t="s">
        <v>54</v>
      </c>
      <c r="C94" s="429" t="s">
        <v>55</v>
      </c>
      <c r="D94" s="429"/>
      <c r="E94" s="8" t="s">
        <v>718</v>
      </c>
      <c r="F94" s="281" t="str">
        <f t="shared" si="26"/>
        <v>E1.P_F</v>
      </c>
      <c r="G94" s="564" t="s">
        <v>126</v>
      </c>
      <c r="H94" s="564" t="s">
        <v>224</v>
      </c>
      <c r="I94" s="462"/>
      <c r="J94" s="457" t="s">
        <v>167</v>
      </c>
      <c r="K94" s="373" t="str">
        <f t="shared" si="27"/>
        <v>E1.P_F.MR2</v>
      </c>
      <c r="L94" s="511" t="s">
        <v>205</v>
      </c>
      <c r="M94" s="512" t="s">
        <v>532</v>
      </c>
      <c r="N94" s="388">
        <v>2598</v>
      </c>
      <c r="O94" s="426">
        <v>3100</v>
      </c>
      <c r="P94" s="565" t="s">
        <v>112</v>
      </c>
      <c r="Q94" s="401" t="str">
        <f t="shared" si="28"/>
        <v>E1.P_F.MR2-MP04-1</v>
      </c>
      <c r="R94" s="475" t="s">
        <v>749</v>
      </c>
      <c r="S94" s="337" t="s">
        <v>532</v>
      </c>
      <c r="T94" s="338">
        <v>492</v>
      </c>
      <c r="U94" s="339">
        <v>600</v>
      </c>
      <c r="V94" s="338" t="s">
        <v>67</v>
      </c>
      <c r="W94" s="501">
        <v>519</v>
      </c>
      <c r="X94" s="566">
        <v>546</v>
      </c>
      <c r="Y94" s="501">
        <v>573</v>
      </c>
      <c r="Z94" s="567">
        <v>600</v>
      </c>
      <c r="AA94" s="298"/>
      <c r="AB94" s="299"/>
      <c r="AC94" s="299"/>
      <c r="AD94" s="299"/>
      <c r="AE94" s="299"/>
      <c r="AF94" s="299"/>
      <c r="AG94" s="299"/>
      <c r="AH94" s="299"/>
      <c r="AI94" s="299"/>
      <c r="AJ94" s="299"/>
      <c r="AK94" s="299"/>
      <c r="AL94" s="299"/>
      <c r="AM94" s="299"/>
      <c r="AN94" s="299"/>
      <c r="AO94" s="299"/>
      <c r="AP94" s="299"/>
      <c r="AQ94" s="299"/>
      <c r="AR94" s="299"/>
      <c r="AS94" s="299"/>
      <c r="AT94" s="299"/>
      <c r="AU94" s="299"/>
      <c r="AV94" s="299"/>
      <c r="AW94" s="299"/>
      <c r="AX94" s="299"/>
      <c r="AY94" s="299"/>
      <c r="AZ94" s="299"/>
      <c r="BA94" s="299"/>
      <c r="BB94" s="299"/>
      <c r="BC94" s="300"/>
      <c r="BD94" s="301"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8" t="s">
        <v>749</v>
      </c>
      <c r="EN94" s="274" t="s">
        <v>532</v>
      </c>
      <c r="EO94" s="274">
        <v>492</v>
      </c>
      <c r="EP94" s="274">
        <v>600</v>
      </c>
      <c r="EQ94" s="275">
        <v>519</v>
      </c>
      <c r="ER94" s="275">
        <v>546</v>
      </c>
      <c r="ES94" s="275">
        <v>573</v>
      </c>
      <c r="ET94" s="826">
        <v>600</v>
      </c>
    </row>
    <row r="95" spans="1:150" ht="86.25" customHeight="1" x14ac:dyDescent="0.2">
      <c r="A95" s="277" t="s">
        <v>53</v>
      </c>
      <c r="B95" s="450" t="s">
        <v>54</v>
      </c>
      <c r="C95" s="451" t="s">
        <v>55</v>
      </c>
      <c r="D95" s="430" t="s">
        <v>694</v>
      </c>
      <c r="E95" s="3" t="s">
        <v>752</v>
      </c>
      <c r="F95" s="431" t="str">
        <f t="shared" si="26"/>
        <v>E1.P_G</v>
      </c>
      <c r="G95" s="432" t="s">
        <v>136</v>
      </c>
      <c r="H95" s="568" t="s">
        <v>245</v>
      </c>
      <c r="I95" s="811" t="s">
        <v>753</v>
      </c>
      <c r="J95" s="434" t="s">
        <v>61</v>
      </c>
      <c r="K95" s="398" t="str">
        <f t="shared" si="27"/>
        <v>E1.P_G.MR1</v>
      </c>
      <c r="L95" s="360" t="s">
        <v>220</v>
      </c>
      <c r="M95" s="361" t="s">
        <v>754</v>
      </c>
      <c r="N95" s="362">
        <v>1</v>
      </c>
      <c r="O95" s="247">
        <v>3</v>
      </c>
      <c r="P95" s="364" t="s">
        <v>64</v>
      </c>
      <c r="Q95" s="365" t="str">
        <f t="shared" si="28"/>
        <v>E1.P_G.MR1-MP01-1</v>
      </c>
      <c r="R95" s="416" t="s">
        <v>755</v>
      </c>
      <c r="S95" s="369" t="s">
        <v>756</v>
      </c>
      <c r="T95" s="368">
        <v>0</v>
      </c>
      <c r="U95" s="369">
        <v>1</v>
      </c>
      <c r="V95" s="368" t="s">
        <v>67</v>
      </c>
      <c r="W95" s="255">
        <v>0</v>
      </c>
      <c r="X95" s="256">
        <v>0.6</v>
      </c>
      <c r="Y95" s="257">
        <v>0.4</v>
      </c>
      <c r="Z95" s="371">
        <v>0</v>
      </c>
      <c r="AA95" s="436">
        <f>124327000-4327000</f>
        <v>120000000</v>
      </c>
      <c r="AB95" s="437"/>
      <c r="AC95" s="437">
        <v>0</v>
      </c>
      <c r="AD95" s="437"/>
      <c r="AE95" s="437"/>
      <c r="AF95" s="437"/>
      <c r="AG95" s="437">
        <f t="shared" ref="AG95" si="41">SUM(AA95:AF95)</f>
        <v>120000000</v>
      </c>
      <c r="AH95" s="437">
        <f t="shared" ref="AH95:AT95" si="42">+AA95</f>
        <v>120000000</v>
      </c>
      <c r="AI95" s="437">
        <f t="shared" si="42"/>
        <v>0</v>
      </c>
      <c r="AJ95" s="437">
        <f t="shared" si="42"/>
        <v>0</v>
      </c>
      <c r="AK95" s="437">
        <f t="shared" si="42"/>
        <v>0</v>
      </c>
      <c r="AL95" s="437">
        <f t="shared" si="42"/>
        <v>0</v>
      </c>
      <c r="AM95" s="437">
        <f t="shared" si="42"/>
        <v>0</v>
      </c>
      <c r="AN95" s="437">
        <f t="shared" si="42"/>
        <v>120000000</v>
      </c>
      <c r="AO95" s="437">
        <f t="shared" si="42"/>
        <v>120000000</v>
      </c>
      <c r="AP95" s="437">
        <f t="shared" si="42"/>
        <v>0</v>
      </c>
      <c r="AQ95" s="437">
        <f t="shared" si="42"/>
        <v>0</v>
      </c>
      <c r="AR95" s="437">
        <f t="shared" si="42"/>
        <v>0</v>
      </c>
      <c r="AS95" s="437">
        <f t="shared" si="42"/>
        <v>0</v>
      </c>
      <c r="AT95" s="437">
        <f t="shared" si="42"/>
        <v>0</v>
      </c>
      <c r="AU95" s="437">
        <f t="shared" ref="AU95" si="43">SUM(AO95:AT95)</f>
        <v>120000000</v>
      </c>
      <c r="AV95" s="437">
        <f t="shared" ref="AV95:BA95" si="44">+AO95</f>
        <v>120000000</v>
      </c>
      <c r="AW95" s="437">
        <f t="shared" si="44"/>
        <v>0</v>
      </c>
      <c r="AX95" s="437">
        <f t="shared" si="44"/>
        <v>0</v>
      </c>
      <c r="AY95" s="437">
        <f t="shared" si="44"/>
        <v>0</v>
      </c>
      <c r="AZ95" s="437">
        <f t="shared" si="44"/>
        <v>0</v>
      </c>
      <c r="BA95" s="437">
        <f t="shared" si="44"/>
        <v>0</v>
      </c>
      <c r="BB95" s="437">
        <f t="shared" ref="BB95" si="45">SUM(AV95:BA95)</f>
        <v>120000000</v>
      </c>
      <c r="BC95" s="438">
        <f t="shared" ref="BC95" si="46">+BB95+AU95+AN95+AG95</f>
        <v>480000000</v>
      </c>
      <c r="BD95" s="301"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8" t="s">
        <v>755</v>
      </c>
      <c r="EN95" s="274" t="s">
        <v>756</v>
      </c>
      <c r="EO95" s="274">
        <v>0</v>
      </c>
      <c r="EP95" s="274">
        <v>1</v>
      </c>
      <c r="EQ95" s="275">
        <v>0</v>
      </c>
      <c r="ER95" s="276">
        <v>0.6</v>
      </c>
      <c r="ES95" s="276">
        <v>0.4</v>
      </c>
      <c r="ET95" s="826">
        <v>0</v>
      </c>
    </row>
    <row r="96" spans="1:150" ht="51" customHeight="1" x14ac:dyDescent="0.2">
      <c r="A96" s="277" t="s">
        <v>53</v>
      </c>
      <c r="B96" s="428" t="s">
        <v>54</v>
      </c>
      <c r="C96" s="429" t="s">
        <v>55</v>
      </c>
      <c r="D96" s="429"/>
      <c r="E96" s="8" t="s">
        <v>752</v>
      </c>
      <c r="F96" s="281" t="str">
        <f t="shared" si="26"/>
        <v>E1.P_G</v>
      </c>
      <c r="G96" s="569" t="s">
        <v>136</v>
      </c>
      <c r="H96" s="510" t="s">
        <v>245</v>
      </c>
      <c r="I96" s="442"/>
      <c r="J96" s="284" t="s">
        <v>61</v>
      </c>
      <c r="K96" s="285" t="str">
        <f t="shared" si="27"/>
        <v>E1.P_G.MR1</v>
      </c>
      <c r="L96" s="408" t="s">
        <v>220</v>
      </c>
      <c r="M96" s="409" t="s">
        <v>754</v>
      </c>
      <c r="N96" s="374">
        <v>1</v>
      </c>
      <c r="O96" s="288">
        <v>3</v>
      </c>
      <c r="P96" s="376" t="s">
        <v>87</v>
      </c>
      <c r="Q96" s="377" t="str">
        <f t="shared" si="28"/>
        <v>E1.P_G.MR1-MP02-1</v>
      </c>
      <c r="R96" s="420" t="s">
        <v>759</v>
      </c>
      <c r="S96" s="294" t="s">
        <v>760</v>
      </c>
      <c r="T96" s="293">
        <v>0</v>
      </c>
      <c r="U96" s="294">
        <v>1</v>
      </c>
      <c r="V96" s="293" t="s">
        <v>67</v>
      </c>
      <c r="W96" s="295">
        <v>0</v>
      </c>
      <c r="X96" s="322">
        <v>0.25</v>
      </c>
      <c r="Y96" s="315">
        <v>0.5</v>
      </c>
      <c r="Z96" s="323">
        <v>0.25</v>
      </c>
      <c r="AA96" s="298"/>
      <c r="AB96" s="299"/>
      <c r="AC96" s="299"/>
      <c r="AD96" s="299"/>
      <c r="AE96" s="299"/>
      <c r="AF96" s="299"/>
      <c r="AG96" s="299"/>
      <c r="AH96" s="299"/>
      <c r="AI96" s="299"/>
      <c r="AJ96" s="299"/>
      <c r="AK96" s="299"/>
      <c r="AL96" s="299"/>
      <c r="AM96" s="299"/>
      <c r="AN96" s="299"/>
      <c r="AO96" s="299"/>
      <c r="AP96" s="299"/>
      <c r="AQ96" s="299"/>
      <c r="AR96" s="299"/>
      <c r="AS96" s="299"/>
      <c r="AT96" s="299"/>
      <c r="AU96" s="299"/>
      <c r="AV96" s="299"/>
      <c r="AW96" s="299"/>
      <c r="AX96" s="299"/>
      <c r="AY96" s="299"/>
      <c r="AZ96" s="299"/>
      <c r="BA96" s="299"/>
      <c r="BB96" s="299"/>
      <c r="BC96" s="300"/>
      <c r="BD96" s="301"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8" t="s">
        <v>759</v>
      </c>
      <c r="EN96" s="274" t="s">
        <v>760</v>
      </c>
      <c r="EO96" s="274">
        <v>0</v>
      </c>
      <c r="EP96" s="274">
        <v>1</v>
      </c>
      <c r="EQ96" s="275">
        <v>0</v>
      </c>
      <c r="ER96" s="329">
        <v>0.25</v>
      </c>
      <c r="ES96" s="276">
        <v>0.5</v>
      </c>
      <c r="ET96" s="825">
        <v>0.25</v>
      </c>
    </row>
    <row r="97" spans="1:150" ht="63" customHeight="1" thickBot="1" x14ac:dyDescent="0.25">
      <c r="A97" s="277" t="s">
        <v>53</v>
      </c>
      <c r="B97" s="428" t="s">
        <v>54</v>
      </c>
      <c r="C97" s="429" t="s">
        <v>55</v>
      </c>
      <c r="D97" s="429"/>
      <c r="E97" s="8" t="s">
        <v>752</v>
      </c>
      <c r="F97" s="281" t="str">
        <f t="shared" si="26"/>
        <v>E1.P_G</v>
      </c>
      <c r="G97" s="569" t="s">
        <v>136</v>
      </c>
      <c r="H97" s="510" t="s">
        <v>245</v>
      </c>
      <c r="I97" s="446"/>
      <c r="J97" s="340" t="s">
        <v>61</v>
      </c>
      <c r="K97" s="285" t="str">
        <f t="shared" si="27"/>
        <v>E1.P_G.MR1</v>
      </c>
      <c r="L97" s="408" t="s">
        <v>220</v>
      </c>
      <c r="M97" s="425" t="s">
        <v>754</v>
      </c>
      <c r="N97" s="388">
        <v>1</v>
      </c>
      <c r="O97" s="426">
        <v>3</v>
      </c>
      <c r="P97" s="390" t="s">
        <v>99</v>
      </c>
      <c r="Q97" s="391" t="str">
        <f t="shared" si="28"/>
        <v>E1.P_G.MR1-MP03-1</v>
      </c>
      <c r="R97" s="427" t="s">
        <v>763</v>
      </c>
      <c r="S97" s="349" t="s">
        <v>764</v>
      </c>
      <c r="T97" s="350">
        <v>8</v>
      </c>
      <c r="U97" s="351">
        <v>8</v>
      </c>
      <c r="V97" s="350" t="s">
        <v>102</v>
      </c>
      <c r="W97" s="352">
        <v>2</v>
      </c>
      <c r="X97" s="353">
        <v>2</v>
      </c>
      <c r="Y97" s="352">
        <v>2</v>
      </c>
      <c r="Z97" s="354">
        <v>2</v>
      </c>
      <c r="AA97" s="298"/>
      <c r="AB97" s="299"/>
      <c r="AC97" s="299"/>
      <c r="AD97" s="299"/>
      <c r="AE97" s="299"/>
      <c r="AF97" s="299"/>
      <c r="AG97" s="299"/>
      <c r="AH97" s="299"/>
      <c r="AI97" s="299"/>
      <c r="AJ97" s="299"/>
      <c r="AK97" s="299"/>
      <c r="AL97" s="299"/>
      <c r="AM97" s="299"/>
      <c r="AN97" s="299"/>
      <c r="AO97" s="299"/>
      <c r="AP97" s="299"/>
      <c r="AQ97" s="299"/>
      <c r="AR97" s="299"/>
      <c r="AS97" s="299"/>
      <c r="AT97" s="299"/>
      <c r="AU97" s="299"/>
      <c r="AV97" s="299"/>
      <c r="AW97" s="299"/>
      <c r="AX97" s="299"/>
      <c r="AY97" s="299"/>
      <c r="AZ97" s="299"/>
      <c r="BA97" s="299"/>
      <c r="BB97" s="299"/>
      <c r="BC97" s="300"/>
      <c r="BD97" s="301"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8" t="s">
        <v>763</v>
      </c>
      <c r="EN97" s="274" t="s">
        <v>764</v>
      </c>
      <c r="EO97" s="274">
        <v>8</v>
      </c>
      <c r="EP97" s="274">
        <v>8</v>
      </c>
      <c r="EQ97" s="275">
        <v>2</v>
      </c>
      <c r="ER97" s="275">
        <v>2</v>
      </c>
      <c r="ES97" s="275">
        <v>2</v>
      </c>
      <c r="ET97" s="826">
        <v>2</v>
      </c>
    </row>
    <row r="98" spans="1:150" ht="113.25" customHeight="1" thickBot="1" x14ac:dyDescent="0.25">
      <c r="A98" s="277" t="s">
        <v>53</v>
      </c>
      <c r="B98" s="428" t="s">
        <v>54</v>
      </c>
      <c r="C98" s="429" t="s">
        <v>55</v>
      </c>
      <c r="D98" s="429"/>
      <c r="E98" s="8" t="s">
        <v>752</v>
      </c>
      <c r="F98" s="281" t="str">
        <f t="shared" si="26"/>
        <v>E1.P_G</v>
      </c>
      <c r="G98" s="570" t="s">
        <v>136</v>
      </c>
      <c r="H98" s="571" t="s">
        <v>245</v>
      </c>
      <c r="I98" s="572" t="s">
        <v>767</v>
      </c>
      <c r="J98" s="573" t="s">
        <v>167</v>
      </c>
      <c r="K98" s="574" t="str">
        <f t="shared" si="27"/>
        <v>E1.P_G.MR2</v>
      </c>
      <c r="L98" s="575" t="s">
        <v>232</v>
      </c>
      <c r="M98" s="576" t="s">
        <v>754</v>
      </c>
      <c r="N98" s="577">
        <v>1</v>
      </c>
      <c r="O98" s="578">
        <v>1</v>
      </c>
      <c r="P98" s="579" t="s">
        <v>64</v>
      </c>
      <c r="Q98" s="580" t="str">
        <f t="shared" si="28"/>
        <v>E1.P_G.MR2-MP01-1</v>
      </c>
      <c r="R98" s="581" t="s">
        <v>768</v>
      </c>
      <c r="S98" s="582" t="s">
        <v>769</v>
      </c>
      <c r="T98" s="583">
        <v>0</v>
      </c>
      <c r="U98" s="584">
        <v>1</v>
      </c>
      <c r="V98" s="583" t="s">
        <v>67</v>
      </c>
      <c r="W98" s="585">
        <v>0.25</v>
      </c>
      <c r="X98" s="586">
        <v>0.25</v>
      </c>
      <c r="Y98" s="585">
        <v>0.25</v>
      </c>
      <c r="Z98" s="587">
        <v>0.25</v>
      </c>
      <c r="AA98" s="298"/>
      <c r="AB98" s="299"/>
      <c r="AC98" s="299"/>
      <c r="AD98" s="299"/>
      <c r="AE98" s="299"/>
      <c r="AF98" s="299"/>
      <c r="AG98" s="299"/>
      <c r="AH98" s="299"/>
      <c r="AI98" s="299"/>
      <c r="AJ98" s="299"/>
      <c r="AK98" s="299"/>
      <c r="AL98" s="299"/>
      <c r="AM98" s="299"/>
      <c r="AN98" s="299"/>
      <c r="AO98" s="299"/>
      <c r="AP98" s="299"/>
      <c r="AQ98" s="299"/>
      <c r="AR98" s="299"/>
      <c r="AS98" s="299"/>
      <c r="AT98" s="299"/>
      <c r="AU98" s="299"/>
      <c r="AV98" s="299"/>
      <c r="AW98" s="299"/>
      <c r="AX98" s="299"/>
      <c r="AY98" s="299"/>
      <c r="AZ98" s="299"/>
      <c r="BA98" s="299"/>
      <c r="BB98" s="299"/>
      <c r="BC98" s="300"/>
      <c r="BD98" s="301"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8" t="s">
        <v>768</v>
      </c>
      <c r="EN98" s="274" t="s">
        <v>769</v>
      </c>
      <c r="EO98" s="274">
        <v>0</v>
      </c>
      <c r="EP98" s="274">
        <v>1</v>
      </c>
      <c r="EQ98" s="329">
        <v>0.25</v>
      </c>
      <c r="ER98" s="329">
        <v>0.25</v>
      </c>
      <c r="ES98" s="329">
        <v>0.25</v>
      </c>
      <c r="ET98" s="825">
        <v>0.25</v>
      </c>
    </row>
    <row r="99" spans="1:150" ht="111.75" customHeight="1" x14ac:dyDescent="0.2">
      <c r="A99" s="277" t="s">
        <v>53</v>
      </c>
      <c r="B99" s="428" t="s">
        <v>54</v>
      </c>
      <c r="C99" s="429" t="s">
        <v>55</v>
      </c>
      <c r="D99" s="430" t="s">
        <v>694</v>
      </c>
      <c r="E99" s="3" t="s">
        <v>772</v>
      </c>
      <c r="F99" s="431" t="str">
        <f t="shared" si="26"/>
        <v>E1.P_H</v>
      </c>
      <c r="G99" s="432" t="s">
        <v>146</v>
      </c>
      <c r="H99" s="361" t="s">
        <v>265</v>
      </c>
      <c r="I99" s="588" t="s">
        <v>773</v>
      </c>
      <c r="J99" s="434" t="s">
        <v>61</v>
      </c>
      <c r="K99" s="244" t="str">
        <f t="shared" si="27"/>
        <v>E1.P_H.MR1</v>
      </c>
      <c r="L99" s="245" t="s">
        <v>241</v>
      </c>
      <c r="M99" s="246" t="s">
        <v>774</v>
      </c>
      <c r="N99" s="362">
        <v>952</v>
      </c>
      <c r="O99" s="247">
        <v>952</v>
      </c>
      <c r="P99" s="376" t="s">
        <v>64</v>
      </c>
      <c r="Q99" s="365" t="str">
        <f t="shared" si="28"/>
        <v>E1.P_H.MR1-MP01-1</v>
      </c>
      <c r="R99" s="416" t="s">
        <v>775</v>
      </c>
      <c r="S99" s="369" t="s">
        <v>776</v>
      </c>
      <c r="T99" s="368">
        <v>0</v>
      </c>
      <c r="U99" s="369">
        <v>1</v>
      </c>
      <c r="V99" s="368" t="s">
        <v>67</v>
      </c>
      <c r="W99" s="561">
        <v>0.25</v>
      </c>
      <c r="X99" s="562">
        <v>0.25</v>
      </c>
      <c r="Y99" s="561">
        <v>0.25</v>
      </c>
      <c r="Z99" s="563">
        <v>0.25</v>
      </c>
      <c r="AA99" s="589">
        <f>15000000+14957800+70042200</f>
        <v>100000000</v>
      </c>
      <c r="AB99" s="590"/>
      <c r="AC99" s="590">
        <v>0</v>
      </c>
      <c r="AD99" s="590"/>
      <c r="AE99" s="590"/>
      <c r="AF99" s="590"/>
      <c r="AG99" s="590">
        <f>SUM(AA99:AF99)</f>
        <v>100000000</v>
      </c>
      <c r="AH99" s="590">
        <f t="shared" ref="AH99:AT99" si="47">+AA99</f>
        <v>100000000</v>
      </c>
      <c r="AI99" s="590">
        <f t="shared" si="47"/>
        <v>0</v>
      </c>
      <c r="AJ99" s="590">
        <f t="shared" si="47"/>
        <v>0</v>
      </c>
      <c r="AK99" s="590">
        <f t="shared" si="47"/>
        <v>0</v>
      </c>
      <c r="AL99" s="590">
        <f t="shared" si="47"/>
        <v>0</v>
      </c>
      <c r="AM99" s="590">
        <f t="shared" si="47"/>
        <v>0</v>
      </c>
      <c r="AN99" s="590">
        <f t="shared" si="47"/>
        <v>100000000</v>
      </c>
      <c r="AO99" s="590">
        <f t="shared" si="47"/>
        <v>100000000</v>
      </c>
      <c r="AP99" s="590">
        <f t="shared" si="47"/>
        <v>0</v>
      </c>
      <c r="AQ99" s="590">
        <f t="shared" si="47"/>
        <v>0</v>
      </c>
      <c r="AR99" s="590">
        <f t="shared" si="47"/>
        <v>0</v>
      </c>
      <c r="AS99" s="590">
        <f t="shared" si="47"/>
        <v>0</v>
      </c>
      <c r="AT99" s="590">
        <f t="shared" si="47"/>
        <v>0</v>
      </c>
      <c r="AU99" s="590">
        <f t="shared" ref="AU99" si="48">SUM(AO99:AT99)</f>
        <v>100000000</v>
      </c>
      <c r="AV99" s="590">
        <f t="shared" ref="AV99:BA99" si="49">+AO99</f>
        <v>100000000</v>
      </c>
      <c r="AW99" s="590">
        <f t="shared" si="49"/>
        <v>0</v>
      </c>
      <c r="AX99" s="590">
        <f t="shared" si="49"/>
        <v>0</v>
      </c>
      <c r="AY99" s="590">
        <f t="shared" si="49"/>
        <v>0</v>
      </c>
      <c r="AZ99" s="590">
        <f t="shared" si="49"/>
        <v>0</v>
      </c>
      <c r="BA99" s="590">
        <f t="shared" si="49"/>
        <v>0</v>
      </c>
      <c r="BB99" s="590">
        <f t="shared" ref="BB99" si="50">SUM(AV99:BA99)</f>
        <v>100000000</v>
      </c>
      <c r="BC99" s="591">
        <f t="shared" ref="BC99" si="51">+BB99+AU99+AN99+AG99</f>
        <v>400000000</v>
      </c>
      <c r="BD99" s="301"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8" t="s">
        <v>775</v>
      </c>
      <c r="EN99" s="274" t="s">
        <v>776</v>
      </c>
      <c r="EO99" s="274">
        <v>0</v>
      </c>
      <c r="EP99" s="274">
        <v>1</v>
      </c>
      <c r="EQ99" s="329">
        <v>0.25</v>
      </c>
      <c r="ER99" s="329">
        <v>0.25</v>
      </c>
      <c r="ES99" s="329">
        <v>0.25</v>
      </c>
      <c r="ET99" s="825">
        <v>0.25</v>
      </c>
    </row>
    <row r="100" spans="1:150" ht="70.5" customHeight="1" x14ac:dyDescent="0.2">
      <c r="A100" s="277" t="s">
        <v>53</v>
      </c>
      <c r="B100" s="428" t="s">
        <v>54</v>
      </c>
      <c r="C100" s="429" t="s">
        <v>55</v>
      </c>
      <c r="D100" s="429"/>
      <c r="E100" s="8" t="s">
        <v>772</v>
      </c>
      <c r="F100" s="281" t="str">
        <f t="shared" si="26"/>
        <v>E1.P_H</v>
      </c>
      <c r="G100" s="452" t="s">
        <v>146</v>
      </c>
      <c r="H100" s="409" t="s">
        <v>265</v>
      </c>
      <c r="I100" s="592"/>
      <c r="J100" s="284" t="s">
        <v>61</v>
      </c>
      <c r="K100" s="285" t="str">
        <f t="shared" si="27"/>
        <v>E1.P_H.MR1</v>
      </c>
      <c r="L100" s="511" t="s">
        <v>241</v>
      </c>
      <c r="M100" s="512" t="s">
        <v>774</v>
      </c>
      <c r="N100" s="374">
        <v>952</v>
      </c>
      <c r="O100" s="288">
        <v>952</v>
      </c>
      <c r="P100" s="376" t="s">
        <v>87</v>
      </c>
      <c r="Q100" s="377" t="str">
        <f t="shared" si="28"/>
        <v>E1.P_H.MR1-MP02-1</v>
      </c>
      <c r="R100" s="420" t="s">
        <v>779</v>
      </c>
      <c r="S100" s="294" t="s">
        <v>780</v>
      </c>
      <c r="T100" s="293">
        <v>0</v>
      </c>
      <c r="U100" s="294">
        <v>1</v>
      </c>
      <c r="V100" s="293" t="s">
        <v>67</v>
      </c>
      <c r="W100" s="321">
        <v>0.25</v>
      </c>
      <c r="X100" s="322">
        <v>0.25</v>
      </c>
      <c r="Y100" s="321">
        <v>0.25</v>
      </c>
      <c r="Z100" s="323">
        <v>0.25</v>
      </c>
      <c r="AA100" s="298"/>
      <c r="AB100" s="299"/>
      <c r="AC100" s="299"/>
      <c r="AD100" s="299"/>
      <c r="AE100" s="299"/>
      <c r="AF100" s="299"/>
      <c r="AG100" s="299"/>
      <c r="AH100" s="299"/>
      <c r="AI100" s="299"/>
      <c r="AJ100" s="299"/>
      <c r="AK100" s="299"/>
      <c r="AL100" s="299"/>
      <c r="AM100" s="299"/>
      <c r="AN100" s="299"/>
      <c r="AO100" s="299"/>
      <c r="AP100" s="299"/>
      <c r="AQ100" s="299"/>
      <c r="AR100" s="299"/>
      <c r="AS100" s="299"/>
      <c r="AT100" s="299"/>
      <c r="AU100" s="299"/>
      <c r="AV100" s="299"/>
      <c r="AW100" s="299"/>
      <c r="AX100" s="299"/>
      <c r="AY100" s="299"/>
      <c r="AZ100" s="299"/>
      <c r="BA100" s="299"/>
      <c r="BB100" s="299"/>
      <c r="BC100" s="300"/>
      <c r="BD100" s="301"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8" t="s">
        <v>779</v>
      </c>
      <c r="EN100" s="274" t="s">
        <v>780</v>
      </c>
      <c r="EO100" s="274">
        <v>0</v>
      </c>
      <c r="EP100" s="274">
        <v>1</v>
      </c>
      <c r="EQ100" s="329">
        <v>0.25</v>
      </c>
      <c r="ER100" s="329">
        <v>0.25</v>
      </c>
      <c r="ES100" s="329">
        <v>0.25</v>
      </c>
      <c r="ET100" s="825">
        <v>0.25</v>
      </c>
    </row>
    <row r="101" spans="1:150" ht="84.75" customHeight="1" x14ac:dyDescent="0.2">
      <c r="A101" s="277" t="s">
        <v>53</v>
      </c>
      <c r="B101" s="428" t="s">
        <v>54</v>
      </c>
      <c r="C101" s="429" t="s">
        <v>55</v>
      </c>
      <c r="D101" s="429"/>
      <c r="E101" s="8" t="s">
        <v>772</v>
      </c>
      <c r="F101" s="281" t="str">
        <f t="shared" si="26"/>
        <v>E1.P_H</v>
      </c>
      <c r="G101" s="452" t="s">
        <v>146</v>
      </c>
      <c r="H101" s="409" t="s">
        <v>265</v>
      </c>
      <c r="I101" s="592"/>
      <c r="J101" s="284" t="s">
        <v>61</v>
      </c>
      <c r="K101" s="285" t="str">
        <f t="shared" si="27"/>
        <v>E1.P_H.MR1</v>
      </c>
      <c r="L101" s="511" t="s">
        <v>241</v>
      </c>
      <c r="M101" s="512" t="s">
        <v>774</v>
      </c>
      <c r="N101" s="374">
        <v>952</v>
      </c>
      <c r="O101" s="288">
        <v>952</v>
      </c>
      <c r="P101" s="376" t="s">
        <v>99</v>
      </c>
      <c r="Q101" s="377" t="str">
        <f t="shared" si="28"/>
        <v>E1.P_H.MR1-MP03-1</v>
      </c>
      <c r="R101" s="420" t="s">
        <v>783</v>
      </c>
      <c r="S101" s="294" t="s">
        <v>784</v>
      </c>
      <c r="T101" s="293">
        <v>0</v>
      </c>
      <c r="U101" s="320">
        <v>1</v>
      </c>
      <c r="V101" s="319" t="s">
        <v>67</v>
      </c>
      <c r="W101" s="321">
        <v>0.25</v>
      </c>
      <c r="X101" s="322">
        <v>0.25</v>
      </c>
      <c r="Y101" s="321">
        <v>0.25</v>
      </c>
      <c r="Z101" s="323">
        <v>0.25</v>
      </c>
      <c r="AA101" s="324"/>
      <c r="AB101" s="325"/>
      <c r="AC101" s="325"/>
      <c r="AD101" s="325"/>
      <c r="AE101" s="325"/>
      <c r="AF101" s="325"/>
      <c r="AG101" s="325"/>
      <c r="AH101" s="325"/>
      <c r="AI101" s="325"/>
      <c r="AJ101" s="325"/>
      <c r="AK101" s="325"/>
      <c r="AL101" s="325"/>
      <c r="AM101" s="325"/>
      <c r="AN101" s="325"/>
      <c r="AO101" s="325"/>
      <c r="AP101" s="325"/>
      <c r="AQ101" s="325"/>
      <c r="AR101" s="325"/>
      <c r="AS101" s="325"/>
      <c r="AT101" s="325"/>
      <c r="AU101" s="325"/>
      <c r="AV101" s="325"/>
      <c r="AW101" s="325"/>
      <c r="AX101" s="325"/>
      <c r="AY101" s="325"/>
      <c r="AZ101" s="325"/>
      <c r="BA101" s="325"/>
      <c r="BB101" s="325"/>
      <c r="BC101" s="326"/>
      <c r="BD101" s="301"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8" t="s">
        <v>783</v>
      </c>
      <c r="EN101" s="274" t="s">
        <v>784</v>
      </c>
      <c r="EO101" s="274">
        <v>0</v>
      </c>
      <c r="EP101" s="329">
        <v>100</v>
      </c>
      <c r="EQ101" s="329">
        <v>25</v>
      </c>
      <c r="ER101" s="329">
        <v>25</v>
      </c>
      <c r="ES101" s="329">
        <v>25</v>
      </c>
      <c r="ET101" s="825">
        <v>25</v>
      </c>
    </row>
    <row r="102" spans="1:150" ht="61.5" customHeight="1" x14ac:dyDescent="0.2">
      <c r="A102" s="277" t="s">
        <v>53</v>
      </c>
      <c r="B102" s="428" t="s">
        <v>54</v>
      </c>
      <c r="C102" s="429" t="s">
        <v>55</v>
      </c>
      <c r="D102" s="429"/>
      <c r="E102" s="8" t="s">
        <v>772</v>
      </c>
      <c r="F102" s="281" t="str">
        <f t="shared" si="26"/>
        <v>E1.P_H</v>
      </c>
      <c r="G102" s="452" t="s">
        <v>146</v>
      </c>
      <c r="H102" s="409" t="s">
        <v>265</v>
      </c>
      <c r="I102" s="592"/>
      <c r="J102" s="284" t="s">
        <v>61</v>
      </c>
      <c r="K102" s="285" t="str">
        <f t="shared" si="27"/>
        <v>E1.P_H.MR1</v>
      </c>
      <c r="L102" s="511" t="s">
        <v>241</v>
      </c>
      <c r="M102" s="512" t="s">
        <v>774</v>
      </c>
      <c r="N102" s="374">
        <v>952</v>
      </c>
      <c r="O102" s="288">
        <v>952</v>
      </c>
      <c r="P102" s="376" t="s">
        <v>112</v>
      </c>
      <c r="Q102" s="377" t="str">
        <f t="shared" si="28"/>
        <v>E1.P_H.MR1-MP04-1</v>
      </c>
      <c r="R102" s="420" t="s">
        <v>787</v>
      </c>
      <c r="S102" s="294" t="s">
        <v>788</v>
      </c>
      <c r="T102" s="293">
        <v>1</v>
      </c>
      <c r="U102" s="294">
        <v>1</v>
      </c>
      <c r="V102" s="293" t="s">
        <v>102</v>
      </c>
      <c r="W102" s="321">
        <v>0.25</v>
      </c>
      <c r="X102" s="322">
        <v>0.25</v>
      </c>
      <c r="Y102" s="321">
        <v>0.25</v>
      </c>
      <c r="Z102" s="323">
        <v>0.25</v>
      </c>
      <c r="AA102" s="298"/>
      <c r="AB102" s="299"/>
      <c r="AC102" s="299"/>
      <c r="AD102" s="299"/>
      <c r="AE102" s="299"/>
      <c r="AF102" s="299"/>
      <c r="AG102" s="299"/>
      <c r="AH102" s="299"/>
      <c r="AI102" s="299"/>
      <c r="AJ102" s="299"/>
      <c r="AK102" s="299"/>
      <c r="AL102" s="299"/>
      <c r="AM102" s="299"/>
      <c r="AN102" s="299"/>
      <c r="AO102" s="299"/>
      <c r="AP102" s="299"/>
      <c r="AQ102" s="299"/>
      <c r="AR102" s="299"/>
      <c r="AS102" s="299"/>
      <c r="AT102" s="299"/>
      <c r="AU102" s="299"/>
      <c r="AV102" s="299"/>
      <c r="AW102" s="299"/>
      <c r="AX102" s="299"/>
      <c r="AY102" s="299"/>
      <c r="AZ102" s="299"/>
      <c r="BA102" s="299"/>
      <c r="BB102" s="299"/>
      <c r="BC102" s="300"/>
      <c r="BD102" s="301"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8" t="s">
        <v>787</v>
      </c>
      <c r="EN102" s="274" t="s">
        <v>788</v>
      </c>
      <c r="EO102" s="274">
        <v>1</v>
      </c>
      <c r="EP102" s="274">
        <v>1</v>
      </c>
      <c r="EQ102" s="329">
        <v>1</v>
      </c>
      <c r="ER102" s="329">
        <v>1</v>
      </c>
      <c r="ES102" s="329">
        <v>1</v>
      </c>
      <c r="ET102" s="825">
        <v>1</v>
      </c>
    </row>
    <row r="103" spans="1:150" ht="45.75" customHeight="1" x14ac:dyDescent="0.2">
      <c r="A103" s="277" t="s">
        <v>53</v>
      </c>
      <c r="B103" s="428" t="s">
        <v>54</v>
      </c>
      <c r="C103" s="429" t="s">
        <v>55</v>
      </c>
      <c r="D103" s="429"/>
      <c r="E103" s="8" t="s">
        <v>772</v>
      </c>
      <c r="F103" s="281" t="str">
        <f t="shared" si="26"/>
        <v>E1.P_H</v>
      </c>
      <c r="G103" s="452" t="s">
        <v>146</v>
      </c>
      <c r="H103" s="409" t="s">
        <v>265</v>
      </c>
      <c r="I103" s="592"/>
      <c r="J103" s="284" t="s">
        <v>61</v>
      </c>
      <c r="K103" s="285" t="str">
        <f t="shared" si="27"/>
        <v>E1.P_H.MR1</v>
      </c>
      <c r="L103" s="511" t="s">
        <v>241</v>
      </c>
      <c r="M103" s="512" t="s">
        <v>774</v>
      </c>
      <c r="N103" s="374">
        <v>952</v>
      </c>
      <c r="O103" s="288">
        <v>952</v>
      </c>
      <c r="P103" s="376" t="s">
        <v>122</v>
      </c>
      <c r="Q103" s="377" t="str">
        <f t="shared" si="28"/>
        <v>E1.P_H.MR1-MP05-1</v>
      </c>
      <c r="R103" s="420" t="s">
        <v>791</v>
      </c>
      <c r="S103" s="314" t="s">
        <v>792</v>
      </c>
      <c r="T103" s="293">
        <v>3</v>
      </c>
      <c r="U103" s="294">
        <v>3</v>
      </c>
      <c r="V103" s="293" t="s">
        <v>102</v>
      </c>
      <c r="W103" s="315">
        <v>0.5</v>
      </c>
      <c r="X103" s="330">
        <v>0.5</v>
      </c>
      <c r="Y103" s="295">
        <v>1</v>
      </c>
      <c r="Z103" s="297">
        <v>1</v>
      </c>
      <c r="AA103" s="298"/>
      <c r="AB103" s="299"/>
      <c r="AC103" s="299"/>
      <c r="AD103" s="299"/>
      <c r="AE103" s="299"/>
      <c r="AF103" s="299"/>
      <c r="AG103" s="299"/>
      <c r="AH103" s="299"/>
      <c r="AI103" s="299"/>
      <c r="AJ103" s="299"/>
      <c r="AK103" s="299"/>
      <c r="AL103" s="299"/>
      <c r="AM103" s="299"/>
      <c r="AN103" s="299"/>
      <c r="AO103" s="299"/>
      <c r="AP103" s="299"/>
      <c r="AQ103" s="299"/>
      <c r="AR103" s="299"/>
      <c r="AS103" s="299"/>
      <c r="AT103" s="299"/>
      <c r="AU103" s="299"/>
      <c r="AV103" s="299"/>
      <c r="AW103" s="299"/>
      <c r="AX103" s="299"/>
      <c r="AY103" s="299"/>
      <c r="AZ103" s="299"/>
      <c r="BA103" s="299"/>
      <c r="BB103" s="299"/>
      <c r="BC103" s="300"/>
      <c r="BD103" s="301"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8" t="s">
        <v>791</v>
      </c>
      <c r="EN103" s="274" t="s">
        <v>792</v>
      </c>
      <c r="EO103" s="274">
        <v>3</v>
      </c>
      <c r="EP103" s="274">
        <v>3</v>
      </c>
      <c r="EQ103" s="276">
        <v>3</v>
      </c>
      <c r="ER103" s="276">
        <v>3</v>
      </c>
      <c r="ES103" s="275">
        <v>3</v>
      </c>
      <c r="ET103" s="826">
        <v>3</v>
      </c>
    </row>
    <row r="104" spans="1:150" ht="63.75" customHeight="1" x14ac:dyDescent="0.2">
      <c r="A104" s="277" t="s">
        <v>53</v>
      </c>
      <c r="B104" s="428" t="s">
        <v>54</v>
      </c>
      <c r="C104" s="429" t="s">
        <v>55</v>
      </c>
      <c r="D104" s="429"/>
      <c r="E104" s="8" t="s">
        <v>772</v>
      </c>
      <c r="F104" s="281" t="str">
        <f t="shared" si="26"/>
        <v>E1.P_H</v>
      </c>
      <c r="G104" s="452" t="s">
        <v>146</v>
      </c>
      <c r="H104" s="409" t="s">
        <v>265</v>
      </c>
      <c r="I104" s="592"/>
      <c r="J104" s="284" t="s">
        <v>61</v>
      </c>
      <c r="K104" s="285" t="str">
        <f t="shared" si="27"/>
        <v>E1.P_H.MR1</v>
      </c>
      <c r="L104" s="511" t="s">
        <v>241</v>
      </c>
      <c r="M104" s="512" t="s">
        <v>774</v>
      </c>
      <c r="N104" s="374">
        <v>952</v>
      </c>
      <c r="O104" s="288">
        <v>952</v>
      </c>
      <c r="P104" s="376" t="s">
        <v>132</v>
      </c>
      <c r="Q104" s="377" t="str">
        <f t="shared" si="28"/>
        <v>E1.P_H.MR1-MP06-1</v>
      </c>
      <c r="R104" s="420" t="s">
        <v>795</v>
      </c>
      <c r="S104" s="294" t="s">
        <v>796</v>
      </c>
      <c r="T104" s="293">
        <v>0</v>
      </c>
      <c r="U104" s="320">
        <v>1</v>
      </c>
      <c r="V104" s="319" t="s">
        <v>67</v>
      </c>
      <c r="W104" s="321">
        <v>0.25</v>
      </c>
      <c r="X104" s="322">
        <v>0.25</v>
      </c>
      <c r="Y104" s="321">
        <v>0.25</v>
      </c>
      <c r="Z104" s="323">
        <v>0.25</v>
      </c>
      <c r="AA104" s="324"/>
      <c r="AB104" s="325"/>
      <c r="AC104" s="325"/>
      <c r="AD104" s="325"/>
      <c r="AE104" s="325"/>
      <c r="AF104" s="325"/>
      <c r="AG104" s="325"/>
      <c r="AH104" s="325"/>
      <c r="AI104" s="325"/>
      <c r="AJ104" s="325"/>
      <c r="AK104" s="325"/>
      <c r="AL104" s="325"/>
      <c r="AM104" s="325"/>
      <c r="AN104" s="325"/>
      <c r="AO104" s="325"/>
      <c r="AP104" s="325"/>
      <c r="AQ104" s="325"/>
      <c r="AR104" s="325"/>
      <c r="AS104" s="325"/>
      <c r="AT104" s="325"/>
      <c r="AU104" s="325"/>
      <c r="AV104" s="325"/>
      <c r="AW104" s="325"/>
      <c r="AX104" s="325"/>
      <c r="AY104" s="325"/>
      <c r="AZ104" s="325"/>
      <c r="BA104" s="325"/>
      <c r="BB104" s="325"/>
      <c r="BC104" s="326"/>
      <c r="BD104" s="301"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8" t="s">
        <v>795</v>
      </c>
      <c r="EN104" s="274" t="s">
        <v>796</v>
      </c>
      <c r="EO104" s="274">
        <v>0</v>
      </c>
      <c r="EP104" s="329">
        <v>100</v>
      </c>
      <c r="EQ104" s="329">
        <v>25</v>
      </c>
      <c r="ER104" s="329">
        <v>25</v>
      </c>
      <c r="ES104" s="329">
        <v>25</v>
      </c>
      <c r="ET104" s="825">
        <v>25</v>
      </c>
    </row>
    <row r="105" spans="1:150" ht="64.5" customHeight="1" thickBot="1" x14ac:dyDescent="0.25">
      <c r="A105" s="277" t="s">
        <v>53</v>
      </c>
      <c r="B105" s="428" t="s">
        <v>54</v>
      </c>
      <c r="C105" s="429" t="s">
        <v>55</v>
      </c>
      <c r="D105" s="429"/>
      <c r="E105" s="8" t="s">
        <v>772</v>
      </c>
      <c r="F105" s="281" t="str">
        <f t="shared" si="26"/>
        <v>E1.P_H</v>
      </c>
      <c r="G105" s="564" t="s">
        <v>146</v>
      </c>
      <c r="H105" s="425" t="s">
        <v>265</v>
      </c>
      <c r="I105" s="592"/>
      <c r="J105" s="340" t="s">
        <v>61</v>
      </c>
      <c r="K105" s="400" t="str">
        <f t="shared" si="27"/>
        <v>E1.P_H.MR1</v>
      </c>
      <c r="L105" s="547" t="s">
        <v>241</v>
      </c>
      <c r="M105" s="548" t="s">
        <v>774</v>
      </c>
      <c r="N105" s="388">
        <v>952</v>
      </c>
      <c r="O105" s="426">
        <v>952</v>
      </c>
      <c r="P105" s="376" t="s">
        <v>142</v>
      </c>
      <c r="Q105" s="391" t="str">
        <f t="shared" si="28"/>
        <v>E1.P_H.MR1-MP07-1</v>
      </c>
      <c r="R105" s="475" t="s">
        <v>799</v>
      </c>
      <c r="S105" s="339" t="s">
        <v>653</v>
      </c>
      <c r="T105" s="350">
        <v>0</v>
      </c>
      <c r="U105" s="351">
        <v>1</v>
      </c>
      <c r="V105" s="350" t="s">
        <v>67</v>
      </c>
      <c r="W105" s="394">
        <v>0.25</v>
      </c>
      <c r="X105" s="395">
        <v>0.25</v>
      </c>
      <c r="Y105" s="394">
        <v>0.25</v>
      </c>
      <c r="Z105" s="396">
        <v>0.25</v>
      </c>
      <c r="AA105" s="298"/>
      <c r="AB105" s="299"/>
      <c r="AC105" s="299"/>
      <c r="AD105" s="299"/>
      <c r="AE105" s="299"/>
      <c r="AF105" s="299"/>
      <c r="AG105" s="299"/>
      <c r="AH105" s="299"/>
      <c r="AI105" s="299"/>
      <c r="AJ105" s="299"/>
      <c r="AK105" s="299"/>
      <c r="AL105" s="299"/>
      <c r="AM105" s="299"/>
      <c r="AN105" s="299"/>
      <c r="AO105" s="299"/>
      <c r="AP105" s="299"/>
      <c r="AQ105" s="299"/>
      <c r="AR105" s="299"/>
      <c r="AS105" s="299"/>
      <c r="AT105" s="299"/>
      <c r="AU105" s="299"/>
      <c r="AV105" s="299"/>
      <c r="AW105" s="299"/>
      <c r="AX105" s="299"/>
      <c r="AY105" s="299"/>
      <c r="AZ105" s="299"/>
      <c r="BA105" s="299"/>
      <c r="BB105" s="299"/>
      <c r="BC105" s="300"/>
      <c r="BD105" s="301"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8" t="s">
        <v>799</v>
      </c>
      <c r="EN105" s="274" t="s">
        <v>653</v>
      </c>
      <c r="EO105" s="274">
        <v>0</v>
      </c>
      <c r="EP105" s="274">
        <v>1</v>
      </c>
      <c r="EQ105" s="329">
        <v>0.25</v>
      </c>
      <c r="ER105" s="329">
        <v>0.25</v>
      </c>
      <c r="ES105" s="329">
        <v>0.25</v>
      </c>
      <c r="ET105" s="825">
        <v>0.25</v>
      </c>
    </row>
    <row r="106" spans="1:150" ht="117" customHeight="1" x14ac:dyDescent="0.2">
      <c r="A106" s="277" t="s">
        <v>53</v>
      </c>
      <c r="B106" s="428" t="s">
        <v>54</v>
      </c>
      <c r="C106" s="429" t="s">
        <v>55</v>
      </c>
      <c r="D106" s="238" t="s">
        <v>694</v>
      </c>
      <c r="E106" s="3" t="s">
        <v>802</v>
      </c>
      <c r="F106" s="431" t="str">
        <f t="shared" si="26"/>
        <v>E1.P_I</v>
      </c>
      <c r="G106" s="432" t="s">
        <v>160</v>
      </c>
      <c r="H106" s="477" t="s">
        <v>279</v>
      </c>
      <c r="I106" s="811" t="s">
        <v>803</v>
      </c>
      <c r="J106" s="434" t="s">
        <v>61</v>
      </c>
      <c r="K106" s="398" t="str">
        <f t="shared" si="27"/>
        <v>E1.P_I.MR1</v>
      </c>
      <c r="L106" s="360" t="s">
        <v>252</v>
      </c>
      <c r="M106" s="246" t="s">
        <v>804</v>
      </c>
      <c r="N106" s="362">
        <v>164</v>
      </c>
      <c r="O106" s="247">
        <v>131</v>
      </c>
      <c r="P106" s="376" t="s">
        <v>64</v>
      </c>
      <c r="Q106" s="365" t="str">
        <f t="shared" si="28"/>
        <v>E1.P_I.MR1-MP01-1</v>
      </c>
      <c r="R106" s="416" t="s">
        <v>805</v>
      </c>
      <c r="S106" s="369" t="s">
        <v>806</v>
      </c>
      <c r="T106" s="368">
        <v>164</v>
      </c>
      <c r="U106" s="369">
        <v>131</v>
      </c>
      <c r="V106" s="368" t="s">
        <v>807</v>
      </c>
      <c r="W106" s="255">
        <v>164</v>
      </c>
      <c r="X106" s="370">
        <v>154</v>
      </c>
      <c r="Y106" s="255">
        <v>144</v>
      </c>
      <c r="Z106" s="371">
        <v>131</v>
      </c>
      <c r="AA106" s="589">
        <f>14957800+42200+264000000</f>
        <v>279000000</v>
      </c>
      <c r="AB106" s="590"/>
      <c r="AC106" s="590">
        <v>0</v>
      </c>
      <c r="AD106" s="590"/>
      <c r="AE106" s="590"/>
      <c r="AF106" s="590"/>
      <c r="AG106" s="590">
        <f t="shared" ref="AG106" si="52">SUM(AA106:AF106)</f>
        <v>279000000</v>
      </c>
      <c r="AH106" s="590">
        <f t="shared" ref="AH106:AT106" si="53">+AA106</f>
        <v>279000000</v>
      </c>
      <c r="AI106" s="590">
        <f t="shared" si="53"/>
        <v>0</v>
      </c>
      <c r="AJ106" s="590">
        <f t="shared" si="53"/>
        <v>0</v>
      </c>
      <c r="AK106" s="590">
        <f t="shared" si="53"/>
        <v>0</v>
      </c>
      <c r="AL106" s="590">
        <f t="shared" si="53"/>
        <v>0</v>
      </c>
      <c r="AM106" s="590">
        <f t="shared" si="53"/>
        <v>0</v>
      </c>
      <c r="AN106" s="590">
        <f t="shared" si="53"/>
        <v>279000000</v>
      </c>
      <c r="AO106" s="590">
        <f t="shared" si="53"/>
        <v>279000000</v>
      </c>
      <c r="AP106" s="590">
        <f t="shared" si="53"/>
        <v>0</v>
      </c>
      <c r="AQ106" s="590">
        <f t="shared" si="53"/>
        <v>0</v>
      </c>
      <c r="AR106" s="590">
        <f t="shared" si="53"/>
        <v>0</v>
      </c>
      <c r="AS106" s="590">
        <f t="shared" si="53"/>
        <v>0</v>
      </c>
      <c r="AT106" s="590">
        <f t="shared" si="53"/>
        <v>0</v>
      </c>
      <c r="AU106" s="590">
        <f t="shared" ref="AU106" si="54">SUM(AO106:AT106)</f>
        <v>279000000</v>
      </c>
      <c r="AV106" s="590">
        <f t="shared" ref="AV106:BA106" si="55">+AO106</f>
        <v>279000000</v>
      </c>
      <c r="AW106" s="590">
        <f t="shared" si="55"/>
        <v>0</v>
      </c>
      <c r="AX106" s="590">
        <f t="shared" si="55"/>
        <v>0</v>
      </c>
      <c r="AY106" s="590">
        <f t="shared" si="55"/>
        <v>0</v>
      </c>
      <c r="AZ106" s="590">
        <f t="shared" si="55"/>
        <v>0</v>
      </c>
      <c r="BA106" s="590">
        <f t="shared" si="55"/>
        <v>0</v>
      </c>
      <c r="BB106" s="590">
        <f t="shared" ref="BB106" si="56">SUM(AV106:BA106)</f>
        <v>279000000</v>
      </c>
      <c r="BC106" s="591">
        <f t="shared" ref="BC106" si="57">+BB106+AU106+AN106+AG106</f>
        <v>1116000000</v>
      </c>
      <c r="BD106" s="301"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8" t="s">
        <v>805</v>
      </c>
      <c r="EN106" s="274" t="s">
        <v>806</v>
      </c>
      <c r="EO106" s="274">
        <v>164</v>
      </c>
      <c r="EP106" s="274">
        <v>131</v>
      </c>
      <c r="EQ106" s="275">
        <v>164</v>
      </c>
      <c r="ER106" s="275">
        <v>154</v>
      </c>
      <c r="ES106" s="275">
        <v>144</v>
      </c>
      <c r="ET106" s="826">
        <v>131</v>
      </c>
    </row>
    <row r="107" spans="1:150" ht="30" customHeight="1" x14ac:dyDescent="0.2">
      <c r="A107" s="277" t="s">
        <v>53</v>
      </c>
      <c r="B107" s="428" t="s">
        <v>54</v>
      </c>
      <c r="C107" s="429" t="s">
        <v>55</v>
      </c>
      <c r="D107" s="429"/>
      <c r="E107" s="8" t="s">
        <v>802</v>
      </c>
      <c r="F107" s="281" t="str">
        <f t="shared" si="26"/>
        <v>E1.P_I</v>
      </c>
      <c r="G107" s="452" t="s">
        <v>160</v>
      </c>
      <c r="H107" s="452" t="s">
        <v>279</v>
      </c>
      <c r="I107" s="442"/>
      <c r="J107" s="284" t="s">
        <v>61</v>
      </c>
      <c r="K107" s="285" t="str">
        <f t="shared" si="27"/>
        <v>E1.P_I.MR1</v>
      </c>
      <c r="L107" s="593" t="s">
        <v>252</v>
      </c>
      <c r="M107" s="594" t="s">
        <v>804</v>
      </c>
      <c r="N107" s="374">
        <v>164</v>
      </c>
      <c r="O107" s="288">
        <v>131</v>
      </c>
      <c r="P107" s="376" t="s">
        <v>87</v>
      </c>
      <c r="Q107" s="377" t="str">
        <f t="shared" si="28"/>
        <v>E1.P_I.MR1-MP02-1</v>
      </c>
      <c r="R107" s="420" t="s">
        <v>810</v>
      </c>
      <c r="S107" s="294" t="s">
        <v>811</v>
      </c>
      <c r="T107" s="293">
        <v>1</v>
      </c>
      <c r="U107" s="294">
        <v>1</v>
      </c>
      <c r="V107" s="293" t="s">
        <v>102</v>
      </c>
      <c r="W107" s="321">
        <v>0.25</v>
      </c>
      <c r="X107" s="322">
        <v>0.25</v>
      </c>
      <c r="Y107" s="321">
        <v>0.25</v>
      </c>
      <c r="Z107" s="323">
        <v>0.25</v>
      </c>
      <c r="AA107" s="298"/>
      <c r="AB107" s="299"/>
      <c r="AC107" s="299"/>
      <c r="AD107" s="299"/>
      <c r="AE107" s="299"/>
      <c r="AF107" s="299"/>
      <c r="AG107" s="299"/>
      <c r="AH107" s="299"/>
      <c r="AI107" s="299"/>
      <c r="AJ107" s="299"/>
      <c r="AK107" s="299"/>
      <c r="AL107" s="299"/>
      <c r="AM107" s="299"/>
      <c r="AN107" s="299"/>
      <c r="AO107" s="299"/>
      <c r="AP107" s="299"/>
      <c r="AQ107" s="299"/>
      <c r="AR107" s="299"/>
      <c r="AS107" s="299"/>
      <c r="AT107" s="299"/>
      <c r="AU107" s="299"/>
      <c r="AV107" s="299"/>
      <c r="AW107" s="299"/>
      <c r="AX107" s="299"/>
      <c r="AY107" s="299"/>
      <c r="AZ107" s="299"/>
      <c r="BA107" s="299"/>
      <c r="BB107" s="299"/>
      <c r="BC107" s="300"/>
      <c r="BD107" s="301"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8" t="s">
        <v>810</v>
      </c>
      <c r="EN107" s="274" t="s">
        <v>811</v>
      </c>
      <c r="EO107" s="274">
        <v>1</v>
      </c>
      <c r="EP107" s="274">
        <v>1</v>
      </c>
      <c r="EQ107" s="329">
        <v>1</v>
      </c>
      <c r="ER107" s="329">
        <v>1</v>
      </c>
      <c r="ES107" s="329">
        <v>1</v>
      </c>
      <c r="ET107" s="825">
        <v>1</v>
      </c>
    </row>
    <row r="108" spans="1:150" ht="51" customHeight="1" thickBot="1" x14ac:dyDescent="0.25">
      <c r="A108" s="277" t="s">
        <v>53</v>
      </c>
      <c r="B108" s="428" t="s">
        <v>54</v>
      </c>
      <c r="C108" s="429" t="s">
        <v>55</v>
      </c>
      <c r="D108" s="429"/>
      <c r="E108" s="8" t="s">
        <v>802</v>
      </c>
      <c r="F108" s="281" t="str">
        <f t="shared" si="26"/>
        <v>E1.P_I</v>
      </c>
      <c r="G108" s="564" t="s">
        <v>160</v>
      </c>
      <c r="H108" s="564" t="s">
        <v>279</v>
      </c>
      <c r="I108" s="446"/>
      <c r="J108" s="340" t="s">
        <v>61</v>
      </c>
      <c r="K108" s="400" t="str">
        <f t="shared" si="27"/>
        <v>E1.P_I.MR1</v>
      </c>
      <c r="L108" s="595" t="s">
        <v>252</v>
      </c>
      <c r="M108" s="594" t="s">
        <v>804</v>
      </c>
      <c r="N108" s="388">
        <v>164</v>
      </c>
      <c r="O108" s="426">
        <v>131</v>
      </c>
      <c r="P108" s="376" t="s">
        <v>99</v>
      </c>
      <c r="Q108" s="391" t="str">
        <f t="shared" si="28"/>
        <v>E1.P_I.MR1-MP03-1</v>
      </c>
      <c r="R108" s="475" t="s">
        <v>814</v>
      </c>
      <c r="S108" s="339" t="s">
        <v>815</v>
      </c>
      <c r="T108" s="350">
        <v>1</v>
      </c>
      <c r="U108" s="351">
        <v>1</v>
      </c>
      <c r="V108" s="350" t="s">
        <v>102</v>
      </c>
      <c r="W108" s="394">
        <v>0.25</v>
      </c>
      <c r="X108" s="395">
        <v>0.25</v>
      </c>
      <c r="Y108" s="394">
        <v>0.25</v>
      </c>
      <c r="Z108" s="396">
        <v>0.25</v>
      </c>
      <c r="AA108" s="298"/>
      <c r="AB108" s="299"/>
      <c r="AC108" s="299"/>
      <c r="AD108" s="299"/>
      <c r="AE108" s="299"/>
      <c r="AF108" s="299"/>
      <c r="AG108" s="299"/>
      <c r="AH108" s="299"/>
      <c r="AI108" s="299"/>
      <c r="AJ108" s="299"/>
      <c r="AK108" s="299"/>
      <c r="AL108" s="299"/>
      <c r="AM108" s="299"/>
      <c r="AN108" s="299"/>
      <c r="AO108" s="299"/>
      <c r="AP108" s="299"/>
      <c r="AQ108" s="299"/>
      <c r="AR108" s="299"/>
      <c r="AS108" s="299"/>
      <c r="AT108" s="299"/>
      <c r="AU108" s="299"/>
      <c r="AV108" s="299"/>
      <c r="AW108" s="299"/>
      <c r="AX108" s="299"/>
      <c r="AY108" s="299"/>
      <c r="AZ108" s="299"/>
      <c r="BA108" s="299"/>
      <c r="BB108" s="299"/>
      <c r="BC108" s="300"/>
      <c r="BD108" s="301"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8" t="s">
        <v>814</v>
      </c>
      <c r="EN108" s="274" t="s">
        <v>815</v>
      </c>
      <c r="EO108" s="274">
        <v>1</v>
      </c>
      <c r="EP108" s="274">
        <v>1</v>
      </c>
      <c r="EQ108" s="329">
        <v>1</v>
      </c>
      <c r="ER108" s="329">
        <v>1</v>
      </c>
      <c r="ES108" s="329">
        <v>1</v>
      </c>
      <c r="ET108" s="825">
        <v>1</v>
      </c>
    </row>
    <row r="109" spans="1:150" ht="145.5" customHeight="1" x14ac:dyDescent="0.2">
      <c r="A109" s="277" t="s">
        <v>53</v>
      </c>
      <c r="B109" s="428" t="s">
        <v>54</v>
      </c>
      <c r="C109" s="429" t="s">
        <v>55</v>
      </c>
      <c r="D109" s="430" t="s">
        <v>694</v>
      </c>
      <c r="E109" s="3" t="s">
        <v>818</v>
      </c>
      <c r="F109" s="431" t="str">
        <f t="shared" si="26"/>
        <v>E1.P_J</v>
      </c>
      <c r="G109" s="432" t="s">
        <v>172</v>
      </c>
      <c r="H109" s="477" t="s">
        <v>290</v>
      </c>
      <c r="I109" s="811" t="s">
        <v>819</v>
      </c>
      <c r="J109" s="434" t="s">
        <v>61</v>
      </c>
      <c r="K109" s="398" t="str">
        <f t="shared" si="27"/>
        <v>E1.P_J.MR1</v>
      </c>
      <c r="L109" s="360" t="s">
        <v>261</v>
      </c>
      <c r="M109" s="361" t="s">
        <v>532</v>
      </c>
      <c r="N109" s="362">
        <v>260</v>
      </c>
      <c r="O109" s="247">
        <v>318</v>
      </c>
      <c r="P109" s="376" t="s">
        <v>64</v>
      </c>
      <c r="Q109" s="365" t="str">
        <f t="shared" si="28"/>
        <v>E1.P_J.MR1-MP01-1</v>
      </c>
      <c r="R109" s="416" t="s">
        <v>820</v>
      </c>
      <c r="S109" s="369" t="s">
        <v>653</v>
      </c>
      <c r="T109" s="368">
        <v>0</v>
      </c>
      <c r="U109" s="369">
        <v>1</v>
      </c>
      <c r="V109" s="368" t="s">
        <v>67</v>
      </c>
      <c r="W109" s="257">
        <v>0.2</v>
      </c>
      <c r="X109" s="256">
        <v>0.3</v>
      </c>
      <c r="Y109" s="561">
        <v>0.25</v>
      </c>
      <c r="Z109" s="563">
        <v>0.25</v>
      </c>
      <c r="AA109" s="589">
        <f>78000000+22000000+78158650+61480775+360575</f>
        <v>240000000</v>
      </c>
      <c r="AB109" s="590"/>
      <c r="AC109" s="590">
        <v>0</v>
      </c>
      <c r="AD109" s="590"/>
      <c r="AE109" s="590"/>
      <c r="AF109" s="590"/>
      <c r="AG109" s="590">
        <f>SUM(AA109:AF109)</f>
        <v>240000000</v>
      </c>
      <c r="AH109" s="590">
        <f t="shared" ref="AH109:AT109" si="58">+AA109</f>
        <v>240000000</v>
      </c>
      <c r="AI109" s="590">
        <f t="shared" si="58"/>
        <v>0</v>
      </c>
      <c r="AJ109" s="590">
        <f t="shared" si="58"/>
        <v>0</v>
      </c>
      <c r="AK109" s="590">
        <f t="shared" si="58"/>
        <v>0</v>
      </c>
      <c r="AL109" s="590">
        <f t="shared" si="58"/>
        <v>0</v>
      </c>
      <c r="AM109" s="590">
        <f t="shared" si="58"/>
        <v>0</v>
      </c>
      <c r="AN109" s="590">
        <f t="shared" si="58"/>
        <v>240000000</v>
      </c>
      <c r="AO109" s="590">
        <f t="shared" si="58"/>
        <v>240000000</v>
      </c>
      <c r="AP109" s="590">
        <f t="shared" si="58"/>
        <v>0</v>
      </c>
      <c r="AQ109" s="590">
        <f t="shared" si="58"/>
        <v>0</v>
      </c>
      <c r="AR109" s="590">
        <f t="shared" si="58"/>
        <v>0</v>
      </c>
      <c r="AS109" s="590">
        <f t="shared" si="58"/>
        <v>0</v>
      </c>
      <c r="AT109" s="590">
        <f t="shared" si="58"/>
        <v>0</v>
      </c>
      <c r="AU109" s="590">
        <f t="shared" ref="AU109" si="59">SUM(AO109:AT109)</f>
        <v>240000000</v>
      </c>
      <c r="AV109" s="590">
        <f t="shared" ref="AV109:BA109" si="60">+AO109</f>
        <v>240000000</v>
      </c>
      <c r="AW109" s="590">
        <f t="shared" si="60"/>
        <v>0</v>
      </c>
      <c r="AX109" s="590">
        <f t="shared" si="60"/>
        <v>0</v>
      </c>
      <c r="AY109" s="590">
        <f t="shared" si="60"/>
        <v>0</v>
      </c>
      <c r="AZ109" s="590">
        <f t="shared" si="60"/>
        <v>0</v>
      </c>
      <c r="BA109" s="590">
        <f t="shared" si="60"/>
        <v>0</v>
      </c>
      <c r="BB109" s="590">
        <f t="shared" ref="BB109" si="61">SUM(AV109:BA109)</f>
        <v>240000000</v>
      </c>
      <c r="BC109" s="591">
        <f t="shared" ref="BC109" si="62">+BB109+AU109+AN109+AG109</f>
        <v>960000000</v>
      </c>
      <c r="BD109" s="301"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8" t="s">
        <v>820</v>
      </c>
      <c r="EN109" s="274" t="s">
        <v>653</v>
      </c>
      <c r="EO109" s="274">
        <v>0</v>
      </c>
      <c r="EP109" s="274">
        <v>1</v>
      </c>
      <c r="EQ109" s="276">
        <v>0.2</v>
      </c>
      <c r="ER109" s="276">
        <v>0.3</v>
      </c>
      <c r="ES109" s="329">
        <v>0.25</v>
      </c>
      <c r="ET109" s="825">
        <v>0.25</v>
      </c>
    </row>
    <row r="110" spans="1:150" ht="66.75" customHeight="1" thickBot="1" x14ac:dyDescent="0.25">
      <c r="A110" s="277" t="s">
        <v>53</v>
      </c>
      <c r="B110" s="596" t="s">
        <v>54</v>
      </c>
      <c r="C110" s="597" t="s">
        <v>55</v>
      </c>
      <c r="D110" s="597"/>
      <c r="E110" s="21" t="s">
        <v>818</v>
      </c>
      <c r="F110" s="598" t="str">
        <f t="shared" si="26"/>
        <v>E1.P_J</v>
      </c>
      <c r="G110" s="564" t="s">
        <v>172</v>
      </c>
      <c r="H110" s="564" t="s">
        <v>290</v>
      </c>
      <c r="I110" s="495"/>
      <c r="J110" s="284" t="s">
        <v>61</v>
      </c>
      <c r="K110" s="285" t="str">
        <f t="shared" si="27"/>
        <v>E1.P_J.MR1</v>
      </c>
      <c r="L110" s="408" t="s">
        <v>261</v>
      </c>
      <c r="M110" s="409" t="s">
        <v>532</v>
      </c>
      <c r="N110" s="388">
        <v>260</v>
      </c>
      <c r="O110" s="426">
        <v>318</v>
      </c>
      <c r="P110" s="376" t="s">
        <v>87</v>
      </c>
      <c r="Q110" s="391" t="str">
        <f t="shared" si="28"/>
        <v>E1.P_J.MR1-MP02-1</v>
      </c>
      <c r="R110" s="475" t="s">
        <v>823</v>
      </c>
      <c r="S110" s="339" t="s">
        <v>653</v>
      </c>
      <c r="T110" s="350">
        <v>1</v>
      </c>
      <c r="U110" s="351">
        <v>1</v>
      </c>
      <c r="V110" s="350" t="s">
        <v>102</v>
      </c>
      <c r="W110" s="394">
        <v>0.25</v>
      </c>
      <c r="X110" s="395">
        <v>0.25</v>
      </c>
      <c r="Y110" s="394">
        <v>0.25</v>
      </c>
      <c r="Z110" s="396">
        <v>0.25</v>
      </c>
      <c r="AA110" s="599"/>
      <c r="AB110" s="600"/>
      <c r="AC110" s="600"/>
      <c r="AD110" s="600"/>
      <c r="AE110" s="600"/>
      <c r="AF110" s="600"/>
      <c r="AG110" s="600"/>
      <c r="AH110" s="600"/>
      <c r="AI110" s="600"/>
      <c r="AJ110" s="600"/>
      <c r="AK110" s="600"/>
      <c r="AL110" s="600"/>
      <c r="AM110" s="600"/>
      <c r="AN110" s="600"/>
      <c r="AO110" s="600"/>
      <c r="AP110" s="600"/>
      <c r="AQ110" s="600"/>
      <c r="AR110" s="600"/>
      <c r="AS110" s="600"/>
      <c r="AT110" s="600"/>
      <c r="AU110" s="600"/>
      <c r="AV110" s="600"/>
      <c r="AW110" s="600"/>
      <c r="AX110" s="600"/>
      <c r="AY110" s="600"/>
      <c r="AZ110" s="600"/>
      <c r="BA110" s="600"/>
      <c r="BB110" s="600"/>
      <c r="BC110" s="601"/>
      <c r="BD110" s="301"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8" t="s">
        <v>823</v>
      </c>
      <c r="EN110" s="274" t="s">
        <v>653</v>
      </c>
      <c r="EO110" s="274">
        <v>1</v>
      </c>
      <c r="EP110" s="274">
        <v>1</v>
      </c>
      <c r="EQ110" s="329">
        <v>1</v>
      </c>
      <c r="ER110" s="329">
        <v>1</v>
      </c>
      <c r="ES110" s="329">
        <v>1</v>
      </c>
      <c r="ET110" s="825">
        <v>1</v>
      </c>
    </row>
    <row r="111" spans="1:150" ht="144.75" customHeight="1" x14ac:dyDescent="0.2">
      <c r="A111" s="235" t="s">
        <v>76</v>
      </c>
      <c r="B111" s="602" t="s">
        <v>77</v>
      </c>
      <c r="C111" s="603" t="s">
        <v>826</v>
      </c>
      <c r="D111" s="430" t="s">
        <v>827</v>
      </c>
      <c r="E111" s="3" t="s">
        <v>57</v>
      </c>
      <c r="F111" s="431" t="str">
        <f t="shared" si="26"/>
        <v>E2.P_A</v>
      </c>
      <c r="G111" s="604" t="s">
        <v>181</v>
      </c>
      <c r="H111" s="361" t="s">
        <v>302</v>
      </c>
      <c r="I111" s="605" t="s">
        <v>828</v>
      </c>
      <c r="J111" s="434" t="s">
        <v>61</v>
      </c>
      <c r="K111" s="398" t="str">
        <f t="shared" si="27"/>
        <v>E2.P_A.MR1</v>
      </c>
      <c r="L111" s="360" t="s">
        <v>275</v>
      </c>
      <c r="M111" s="361" t="s">
        <v>829</v>
      </c>
      <c r="N111" s="606">
        <v>4.7500000000000001E-2</v>
      </c>
      <c r="O111" s="606">
        <v>4.4999999999999998E-2</v>
      </c>
      <c r="P111" s="607" t="s">
        <v>64</v>
      </c>
      <c r="Q111" s="608" t="str">
        <f t="shared" si="28"/>
        <v>E2.P_A.MR1-MP01-1</v>
      </c>
      <c r="R111" s="416" t="s">
        <v>830</v>
      </c>
      <c r="S111" s="367" t="s">
        <v>831</v>
      </c>
      <c r="T111" s="368">
        <v>0</v>
      </c>
      <c r="U111" s="369">
        <v>1</v>
      </c>
      <c r="V111" s="368" t="s">
        <v>102</v>
      </c>
      <c r="W111" s="255">
        <v>1</v>
      </c>
      <c r="X111" s="370">
        <v>1</v>
      </c>
      <c r="Y111" s="255">
        <v>1</v>
      </c>
      <c r="Z111" s="371">
        <v>1</v>
      </c>
      <c r="AA111" s="259">
        <v>30000000</v>
      </c>
      <c r="AB111" s="260">
        <v>0</v>
      </c>
      <c r="AC111" s="260">
        <v>0</v>
      </c>
      <c r="AD111" s="260">
        <v>0</v>
      </c>
      <c r="AE111" s="260">
        <v>0</v>
      </c>
      <c r="AF111" s="260">
        <v>0</v>
      </c>
      <c r="AG111" s="260">
        <f>SUM(AA111:AF111)</f>
        <v>30000000</v>
      </c>
      <c r="AH111" s="260">
        <f t="shared" ref="AH111:AM111" si="63">AA111*1.035</f>
        <v>31049999.999999996</v>
      </c>
      <c r="AI111" s="260">
        <f t="shared" si="63"/>
        <v>0</v>
      </c>
      <c r="AJ111" s="260">
        <f t="shared" si="63"/>
        <v>0</v>
      </c>
      <c r="AK111" s="260">
        <f t="shared" si="63"/>
        <v>0</v>
      </c>
      <c r="AL111" s="260">
        <f t="shared" si="63"/>
        <v>0</v>
      </c>
      <c r="AM111" s="260">
        <f t="shared" si="63"/>
        <v>0</v>
      </c>
      <c r="AN111" s="260">
        <f t="shared" ref="AN111" si="64">SUM(AH111:AM111)</f>
        <v>31049999.999999996</v>
      </c>
      <c r="AO111" s="260">
        <f>AH111*1.035</f>
        <v>32136749.999999993</v>
      </c>
      <c r="AP111" s="260">
        <f t="shared" ref="AP111:AT111" si="65">AI111*1.035</f>
        <v>0</v>
      </c>
      <c r="AQ111" s="260">
        <f t="shared" si="65"/>
        <v>0</v>
      </c>
      <c r="AR111" s="260">
        <f t="shared" si="65"/>
        <v>0</v>
      </c>
      <c r="AS111" s="260">
        <f t="shared" si="65"/>
        <v>0</v>
      </c>
      <c r="AT111" s="260">
        <f t="shared" si="65"/>
        <v>0</v>
      </c>
      <c r="AU111" s="260">
        <f>SUM(AO111:AT111)</f>
        <v>32136749.999999993</v>
      </c>
      <c r="AV111" s="260">
        <f>AO111*1.035</f>
        <v>33261536.249999989</v>
      </c>
      <c r="AW111" s="260">
        <f t="shared" ref="AW111:BA111" si="66">AP111*1.035</f>
        <v>0</v>
      </c>
      <c r="AX111" s="260">
        <f t="shared" si="66"/>
        <v>0</v>
      </c>
      <c r="AY111" s="260">
        <f t="shared" si="66"/>
        <v>0</v>
      </c>
      <c r="AZ111" s="260">
        <f t="shared" si="66"/>
        <v>0</v>
      </c>
      <c r="BA111" s="260">
        <f t="shared" si="66"/>
        <v>0</v>
      </c>
      <c r="BB111" s="260">
        <f>SUM(AV111:BA111)</f>
        <v>33261536.249999989</v>
      </c>
      <c r="BC111" s="261">
        <f t="shared" ref="BC111" si="67">+AG111+AN111+AU111+BB111</f>
        <v>126448286.24999999</v>
      </c>
      <c r="BD111" s="301"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8" t="s">
        <v>830</v>
      </c>
      <c r="EN111" s="274" t="s">
        <v>831</v>
      </c>
      <c r="EO111" s="274">
        <v>0</v>
      </c>
      <c r="EP111" s="274">
        <v>1</v>
      </c>
      <c r="EQ111" s="275">
        <v>1</v>
      </c>
      <c r="ER111" s="275">
        <v>1</v>
      </c>
      <c r="ES111" s="275">
        <v>1</v>
      </c>
      <c r="ET111" s="826">
        <v>1</v>
      </c>
    </row>
    <row r="112" spans="1:150" ht="36.75" customHeight="1" x14ac:dyDescent="0.2">
      <c r="A112" s="277" t="s">
        <v>76</v>
      </c>
      <c r="B112" s="428" t="s">
        <v>77</v>
      </c>
      <c r="C112" s="429" t="s">
        <v>826</v>
      </c>
      <c r="D112" s="429"/>
      <c r="E112" s="8" t="s">
        <v>57</v>
      </c>
      <c r="F112" s="281" t="str">
        <f t="shared" si="26"/>
        <v>E2.P_A</v>
      </c>
      <c r="G112" s="489" t="s">
        <v>181</v>
      </c>
      <c r="H112" s="609" t="s">
        <v>302</v>
      </c>
      <c r="I112" s="592"/>
      <c r="J112" s="284" t="s">
        <v>61</v>
      </c>
      <c r="K112" s="285" t="str">
        <f t="shared" si="27"/>
        <v>E2.P_A.MR1</v>
      </c>
      <c r="L112" s="408" t="s">
        <v>275</v>
      </c>
      <c r="M112" s="409" t="s">
        <v>829</v>
      </c>
      <c r="N112" s="610">
        <v>4.7500000000000001E-2</v>
      </c>
      <c r="O112" s="610">
        <v>4.4999999999999998E-2</v>
      </c>
      <c r="P112" s="376" t="s">
        <v>87</v>
      </c>
      <c r="Q112" s="377" t="str">
        <f t="shared" si="28"/>
        <v>E2.P_A.MR1-MP02-1</v>
      </c>
      <c r="R112" s="420" t="s">
        <v>835</v>
      </c>
      <c r="S112" s="314" t="s">
        <v>836</v>
      </c>
      <c r="T112" s="293">
        <v>0</v>
      </c>
      <c r="U112" s="294">
        <v>1</v>
      </c>
      <c r="V112" s="293" t="s">
        <v>102</v>
      </c>
      <c r="W112" s="295">
        <v>0</v>
      </c>
      <c r="X112" s="296">
        <v>1</v>
      </c>
      <c r="Y112" s="295">
        <v>1</v>
      </c>
      <c r="Z112" s="297">
        <v>1</v>
      </c>
      <c r="AA112" s="298"/>
      <c r="AB112" s="299"/>
      <c r="AC112" s="299"/>
      <c r="AD112" s="299"/>
      <c r="AE112" s="299"/>
      <c r="AF112" s="299"/>
      <c r="AG112" s="299"/>
      <c r="AH112" s="299"/>
      <c r="AI112" s="299"/>
      <c r="AJ112" s="299"/>
      <c r="AK112" s="299"/>
      <c r="AL112" s="299"/>
      <c r="AM112" s="299"/>
      <c r="AN112" s="299"/>
      <c r="AO112" s="299"/>
      <c r="AP112" s="299"/>
      <c r="AQ112" s="299"/>
      <c r="AR112" s="299"/>
      <c r="AS112" s="299"/>
      <c r="AT112" s="299"/>
      <c r="AU112" s="299"/>
      <c r="AV112" s="299"/>
      <c r="AW112" s="299"/>
      <c r="AX112" s="299"/>
      <c r="AY112" s="299"/>
      <c r="AZ112" s="299"/>
      <c r="BA112" s="299"/>
      <c r="BB112" s="299"/>
      <c r="BC112" s="300"/>
      <c r="BD112" s="301"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8" t="s">
        <v>835</v>
      </c>
      <c r="EN112" s="274" t="s">
        <v>836</v>
      </c>
      <c r="EO112" s="274">
        <v>0</v>
      </c>
      <c r="EP112" s="274">
        <v>1</v>
      </c>
      <c r="EQ112" s="275">
        <v>0</v>
      </c>
      <c r="ER112" s="275">
        <v>1</v>
      </c>
      <c r="ES112" s="275">
        <v>1</v>
      </c>
      <c r="ET112" s="826">
        <v>1</v>
      </c>
    </row>
    <row r="113" spans="1:150" ht="95.25" customHeight="1" x14ac:dyDescent="0.2">
      <c r="A113" s="277" t="s">
        <v>76</v>
      </c>
      <c r="B113" s="428" t="s">
        <v>77</v>
      </c>
      <c r="C113" s="429" t="s">
        <v>826</v>
      </c>
      <c r="D113" s="429"/>
      <c r="E113" s="8" t="s">
        <v>57</v>
      </c>
      <c r="F113" s="281" t="str">
        <f t="shared" si="26"/>
        <v>E2.P_A</v>
      </c>
      <c r="G113" s="489" t="s">
        <v>181</v>
      </c>
      <c r="H113" s="609" t="s">
        <v>302</v>
      </c>
      <c r="I113" s="592"/>
      <c r="J113" s="284" t="s">
        <v>61</v>
      </c>
      <c r="K113" s="285" t="str">
        <f t="shared" si="27"/>
        <v>E2.P_A.MR1</v>
      </c>
      <c r="L113" s="408" t="s">
        <v>275</v>
      </c>
      <c r="M113" s="409" t="s">
        <v>829</v>
      </c>
      <c r="N113" s="610">
        <v>4.7500000000000001E-2</v>
      </c>
      <c r="O113" s="610">
        <v>4.4999999999999998E-2</v>
      </c>
      <c r="P113" s="376" t="s">
        <v>99</v>
      </c>
      <c r="Q113" s="377" t="str">
        <f t="shared" si="28"/>
        <v>E2.P_A.MR1-MP03-1</v>
      </c>
      <c r="R113" s="420" t="s">
        <v>839</v>
      </c>
      <c r="S113" s="314" t="s">
        <v>840</v>
      </c>
      <c r="T113" s="319">
        <v>0.25</v>
      </c>
      <c r="U113" s="320">
        <v>0.3</v>
      </c>
      <c r="V113" s="319" t="s">
        <v>67</v>
      </c>
      <c r="W113" s="321">
        <v>0.25</v>
      </c>
      <c r="X113" s="322">
        <v>0.26</v>
      </c>
      <c r="Y113" s="321">
        <v>0.28999999999999998</v>
      </c>
      <c r="Z113" s="316">
        <v>0.3</v>
      </c>
      <c r="AA113" s="324"/>
      <c r="AB113" s="325"/>
      <c r="AC113" s="325"/>
      <c r="AD113" s="325"/>
      <c r="AE113" s="325"/>
      <c r="AF113" s="325"/>
      <c r="AG113" s="325"/>
      <c r="AH113" s="325"/>
      <c r="AI113" s="325"/>
      <c r="AJ113" s="325"/>
      <c r="AK113" s="325"/>
      <c r="AL113" s="325"/>
      <c r="AM113" s="325"/>
      <c r="AN113" s="325"/>
      <c r="AO113" s="325"/>
      <c r="AP113" s="325"/>
      <c r="AQ113" s="325"/>
      <c r="AR113" s="325"/>
      <c r="AS113" s="325"/>
      <c r="AT113" s="325"/>
      <c r="AU113" s="325"/>
      <c r="AV113" s="325"/>
      <c r="AW113" s="325"/>
      <c r="AX113" s="325"/>
      <c r="AY113" s="325"/>
      <c r="AZ113" s="325"/>
      <c r="BA113" s="325"/>
      <c r="BB113" s="325"/>
      <c r="BC113" s="326"/>
      <c r="BD113" s="301"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8" t="s">
        <v>839</v>
      </c>
      <c r="EN113" s="274" t="s">
        <v>1901</v>
      </c>
      <c r="EO113" s="329">
        <v>25</v>
      </c>
      <c r="EP113" s="329">
        <v>30</v>
      </c>
      <c r="EQ113" s="329">
        <v>25</v>
      </c>
      <c r="ER113" s="329">
        <v>26</v>
      </c>
      <c r="ES113" s="329">
        <v>29</v>
      </c>
      <c r="ET113" s="829">
        <v>30</v>
      </c>
    </row>
    <row r="114" spans="1:150" ht="48" customHeight="1" x14ac:dyDescent="0.2">
      <c r="A114" s="277" t="s">
        <v>76</v>
      </c>
      <c r="B114" s="428" t="s">
        <v>77</v>
      </c>
      <c r="C114" s="429" t="s">
        <v>826</v>
      </c>
      <c r="D114" s="429"/>
      <c r="E114" s="8" t="s">
        <v>57</v>
      </c>
      <c r="F114" s="281" t="str">
        <f t="shared" si="26"/>
        <v>E2.P_A</v>
      </c>
      <c r="G114" s="489" t="s">
        <v>181</v>
      </c>
      <c r="H114" s="609" t="s">
        <v>302</v>
      </c>
      <c r="I114" s="592"/>
      <c r="J114" s="284" t="s">
        <v>61</v>
      </c>
      <c r="K114" s="285" t="str">
        <f t="shared" si="27"/>
        <v>E2.P_A.MR1</v>
      </c>
      <c r="L114" s="408" t="s">
        <v>275</v>
      </c>
      <c r="M114" s="409" t="s">
        <v>829</v>
      </c>
      <c r="N114" s="610">
        <v>4.7500000000000001E-2</v>
      </c>
      <c r="O114" s="610">
        <v>4.4999999999999998E-2</v>
      </c>
      <c r="P114" s="376" t="s">
        <v>112</v>
      </c>
      <c r="Q114" s="377" t="str">
        <f t="shared" si="28"/>
        <v>E2.P_A.MR1-MP04-1</v>
      </c>
      <c r="R114" s="420" t="s">
        <v>843</v>
      </c>
      <c r="S114" s="314" t="s">
        <v>844</v>
      </c>
      <c r="T114" s="319">
        <v>0.38</v>
      </c>
      <c r="U114" s="320">
        <v>0.57999999999999996</v>
      </c>
      <c r="V114" s="319" t="s">
        <v>67</v>
      </c>
      <c r="W114" s="315">
        <v>0.4</v>
      </c>
      <c r="X114" s="322">
        <v>0.45</v>
      </c>
      <c r="Y114" s="315">
        <v>0.5</v>
      </c>
      <c r="Z114" s="323">
        <v>0.57999999999999996</v>
      </c>
      <c r="AA114" s="324"/>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6"/>
      <c r="BD114" s="301"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8" t="s">
        <v>843</v>
      </c>
      <c r="EN114" s="274" t="s">
        <v>1902</v>
      </c>
      <c r="EO114" s="276">
        <v>38</v>
      </c>
      <c r="EP114" s="276">
        <v>58</v>
      </c>
      <c r="EQ114" s="276">
        <v>40</v>
      </c>
      <c r="ER114" s="329">
        <v>45</v>
      </c>
      <c r="ES114" s="276">
        <v>50</v>
      </c>
      <c r="ET114" s="825">
        <v>58</v>
      </c>
    </row>
    <row r="115" spans="1:150" ht="64.5" customHeight="1" x14ac:dyDescent="0.2">
      <c r="A115" s="277" t="s">
        <v>76</v>
      </c>
      <c r="B115" s="428" t="s">
        <v>77</v>
      </c>
      <c r="C115" s="429" t="s">
        <v>826</v>
      </c>
      <c r="D115" s="429"/>
      <c r="E115" s="8" t="s">
        <v>57</v>
      </c>
      <c r="F115" s="281" t="str">
        <f t="shared" si="26"/>
        <v>E2.P_A</v>
      </c>
      <c r="G115" s="489" t="s">
        <v>181</v>
      </c>
      <c r="H115" s="609" t="s">
        <v>302</v>
      </c>
      <c r="I115" s="592"/>
      <c r="J115" s="284" t="s">
        <v>61</v>
      </c>
      <c r="K115" s="285" t="str">
        <f t="shared" si="27"/>
        <v>E2.P_A.MR1</v>
      </c>
      <c r="L115" s="408" t="s">
        <v>275</v>
      </c>
      <c r="M115" s="409" t="s">
        <v>829</v>
      </c>
      <c r="N115" s="610">
        <v>4.7500000000000001E-2</v>
      </c>
      <c r="O115" s="610">
        <v>4.4999999999999998E-2</v>
      </c>
      <c r="P115" s="376" t="s">
        <v>122</v>
      </c>
      <c r="Q115" s="377" t="str">
        <f t="shared" si="28"/>
        <v>E2.P_A.MR1-MP05-1</v>
      </c>
      <c r="R115" s="420" t="s">
        <v>847</v>
      </c>
      <c r="S115" s="314" t="s">
        <v>848</v>
      </c>
      <c r="T115" s="319">
        <v>0.02</v>
      </c>
      <c r="U115" s="320">
        <v>0.1</v>
      </c>
      <c r="V115" s="319" t="s">
        <v>67</v>
      </c>
      <c r="W115" s="295">
        <v>2</v>
      </c>
      <c r="X115" s="296">
        <v>4</v>
      </c>
      <c r="Y115" s="295">
        <v>6</v>
      </c>
      <c r="Z115" s="297">
        <v>10</v>
      </c>
      <c r="AA115" s="324"/>
      <c r="AB115" s="325"/>
      <c r="AC115" s="325"/>
      <c r="AD115" s="325"/>
      <c r="AE115" s="325"/>
      <c r="AF115" s="325"/>
      <c r="AG115" s="325"/>
      <c r="AH115" s="325"/>
      <c r="AI115" s="325"/>
      <c r="AJ115" s="325"/>
      <c r="AK115" s="325"/>
      <c r="AL115" s="325"/>
      <c r="AM115" s="325"/>
      <c r="AN115" s="325"/>
      <c r="AO115" s="325"/>
      <c r="AP115" s="325"/>
      <c r="AQ115" s="325"/>
      <c r="AR115" s="325"/>
      <c r="AS115" s="325"/>
      <c r="AT115" s="325"/>
      <c r="AU115" s="325"/>
      <c r="AV115" s="325"/>
      <c r="AW115" s="325"/>
      <c r="AX115" s="325"/>
      <c r="AY115" s="325"/>
      <c r="AZ115" s="325"/>
      <c r="BA115" s="325"/>
      <c r="BB115" s="325"/>
      <c r="BC115" s="326"/>
      <c r="BD115" s="301"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8" t="s">
        <v>847</v>
      </c>
      <c r="EN115" s="274" t="s">
        <v>1903</v>
      </c>
      <c r="EO115" s="275">
        <v>2</v>
      </c>
      <c r="EP115" s="806">
        <v>10</v>
      </c>
      <c r="EQ115" s="806">
        <v>2</v>
      </c>
      <c r="ER115" s="806">
        <v>4</v>
      </c>
      <c r="ES115" s="806">
        <v>6</v>
      </c>
      <c r="ET115" s="836">
        <v>10</v>
      </c>
    </row>
    <row r="116" spans="1:150" ht="63" customHeight="1" x14ac:dyDescent="0.2">
      <c r="A116" s="277" t="s">
        <v>76</v>
      </c>
      <c r="B116" s="428" t="s">
        <v>77</v>
      </c>
      <c r="C116" s="429" t="s">
        <v>826</v>
      </c>
      <c r="D116" s="429"/>
      <c r="E116" s="8" t="s">
        <v>57</v>
      </c>
      <c r="F116" s="281" t="str">
        <f t="shared" si="26"/>
        <v>E2.P_A</v>
      </c>
      <c r="G116" s="489" t="s">
        <v>181</v>
      </c>
      <c r="H116" s="609" t="s">
        <v>302</v>
      </c>
      <c r="I116" s="592"/>
      <c r="J116" s="284" t="s">
        <v>61</v>
      </c>
      <c r="K116" s="285" t="str">
        <f t="shared" si="27"/>
        <v>E2.P_A.MR1</v>
      </c>
      <c r="L116" s="408" t="s">
        <v>275</v>
      </c>
      <c r="M116" s="409" t="s">
        <v>829</v>
      </c>
      <c r="N116" s="610">
        <v>4.7500000000000001E-2</v>
      </c>
      <c r="O116" s="610">
        <v>4.4999999999999998E-2</v>
      </c>
      <c r="P116" s="376" t="s">
        <v>132</v>
      </c>
      <c r="Q116" s="377" t="str">
        <f t="shared" si="28"/>
        <v>E2.P_A.MR1-MP06-1</v>
      </c>
      <c r="R116" s="420" t="s">
        <v>851</v>
      </c>
      <c r="S116" s="314" t="s">
        <v>852</v>
      </c>
      <c r="T116" s="293">
        <v>2</v>
      </c>
      <c r="U116" s="294">
        <v>3</v>
      </c>
      <c r="V116" s="293" t="s">
        <v>67</v>
      </c>
      <c r="W116" s="295">
        <v>1</v>
      </c>
      <c r="X116" s="296">
        <v>2</v>
      </c>
      <c r="Y116" s="295">
        <v>3</v>
      </c>
      <c r="Z116" s="297">
        <v>3</v>
      </c>
      <c r="AA116" s="298"/>
      <c r="AB116" s="299"/>
      <c r="AC116" s="299"/>
      <c r="AD116" s="299"/>
      <c r="AE116" s="299"/>
      <c r="AF116" s="299"/>
      <c r="AG116" s="299"/>
      <c r="AH116" s="299"/>
      <c r="AI116" s="299"/>
      <c r="AJ116" s="299"/>
      <c r="AK116" s="299"/>
      <c r="AL116" s="299"/>
      <c r="AM116" s="299"/>
      <c r="AN116" s="299"/>
      <c r="AO116" s="299"/>
      <c r="AP116" s="299"/>
      <c r="AQ116" s="299"/>
      <c r="AR116" s="299"/>
      <c r="AS116" s="299"/>
      <c r="AT116" s="299"/>
      <c r="AU116" s="299"/>
      <c r="AV116" s="299"/>
      <c r="AW116" s="299"/>
      <c r="AX116" s="299"/>
      <c r="AY116" s="299"/>
      <c r="AZ116" s="299"/>
      <c r="BA116" s="299"/>
      <c r="BB116" s="299"/>
      <c r="BC116" s="300"/>
      <c r="BD116" s="301"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8" t="s">
        <v>851</v>
      </c>
      <c r="EN116" s="274" t="s">
        <v>852</v>
      </c>
      <c r="EO116" s="274">
        <v>2</v>
      </c>
      <c r="EP116" s="274">
        <v>3</v>
      </c>
      <c r="EQ116" s="275">
        <v>1</v>
      </c>
      <c r="ER116" s="275">
        <v>1</v>
      </c>
      <c r="ES116" s="276">
        <v>0.5</v>
      </c>
      <c r="ET116" s="829">
        <v>0.5</v>
      </c>
    </row>
    <row r="117" spans="1:150" ht="93" customHeight="1" x14ac:dyDescent="0.2">
      <c r="A117" s="277" t="s">
        <v>76</v>
      </c>
      <c r="B117" s="428" t="s">
        <v>77</v>
      </c>
      <c r="C117" s="429" t="s">
        <v>826</v>
      </c>
      <c r="D117" s="429"/>
      <c r="E117" s="8" t="s">
        <v>57</v>
      </c>
      <c r="F117" s="281" t="str">
        <f t="shared" si="26"/>
        <v>E2.P_A</v>
      </c>
      <c r="G117" s="489" t="s">
        <v>181</v>
      </c>
      <c r="H117" s="609" t="s">
        <v>302</v>
      </c>
      <c r="I117" s="592"/>
      <c r="J117" s="284" t="s">
        <v>61</v>
      </c>
      <c r="K117" s="285" t="str">
        <f t="shared" si="27"/>
        <v>E2.P_A.MR1</v>
      </c>
      <c r="L117" s="408" t="s">
        <v>275</v>
      </c>
      <c r="M117" s="409" t="s">
        <v>829</v>
      </c>
      <c r="N117" s="610">
        <v>4.7500000000000001E-2</v>
      </c>
      <c r="O117" s="610">
        <v>4.4999999999999998E-2</v>
      </c>
      <c r="P117" s="376" t="s">
        <v>142</v>
      </c>
      <c r="Q117" s="377" t="str">
        <f t="shared" si="28"/>
        <v>E2.P_A.MR1-MP07-1</v>
      </c>
      <c r="R117" s="420" t="s">
        <v>855</v>
      </c>
      <c r="S117" s="314" t="s">
        <v>856</v>
      </c>
      <c r="T117" s="319">
        <v>0.05</v>
      </c>
      <c r="U117" s="320">
        <v>0.3</v>
      </c>
      <c r="V117" s="319" t="s">
        <v>67</v>
      </c>
      <c r="W117" s="295">
        <v>5</v>
      </c>
      <c r="X117" s="296">
        <v>15</v>
      </c>
      <c r="Y117" s="295">
        <v>25</v>
      </c>
      <c r="Z117" s="297">
        <v>30</v>
      </c>
      <c r="AA117" s="324"/>
      <c r="AB117" s="325"/>
      <c r="AC117" s="325"/>
      <c r="AD117" s="325"/>
      <c r="AE117" s="325"/>
      <c r="AF117" s="325"/>
      <c r="AG117" s="325"/>
      <c r="AH117" s="325"/>
      <c r="AI117" s="325"/>
      <c r="AJ117" s="325"/>
      <c r="AK117" s="325"/>
      <c r="AL117" s="325"/>
      <c r="AM117" s="325"/>
      <c r="AN117" s="325"/>
      <c r="AO117" s="325"/>
      <c r="AP117" s="325"/>
      <c r="AQ117" s="325"/>
      <c r="AR117" s="325"/>
      <c r="AS117" s="325"/>
      <c r="AT117" s="325"/>
      <c r="AU117" s="325"/>
      <c r="AV117" s="325"/>
      <c r="AW117" s="325"/>
      <c r="AX117" s="325"/>
      <c r="AY117" s="325"/>
      <c r="AZ117" s="325"/>
      <c r="BA117" s="325"/>
      <c r="BB117" s="325"/>
      <c r="BC117" s="326"/>
      <c r="BD117" s="301"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8" t="s">
        <v>855</v>
      </c>
      <c r="EN117" s="274" t="s">
        <v>1904</v>
      </c>
      <c r="EO117" s="275">
        <v>5</v>
      </c>
      <c r="EP117" s="806">
        <v>30</v>
      </c>
      <c r="EQ117" s="806">
        <v>5</v>
      </c>
      <c r="ER117" s="806">
        <v>15</v>
      </c>
      <c r="ES117" s="806">
        <v>25</v>
      </c>
      <c r="ET117" s="836">
        <v>30</v>
      </c>
    </row>
    <row r="118" spans="1:150" ht="34.5" customHeight="1" x14ac:dyDescent="0.2">
      <c r="A118" s="277" t="s">
        <v>76</v>
      </c>
      <c r="B118" s="428" t="s">
        <v>77</v>
      </c>
      <c r="C118" s="429" t="s">
        <v>826</v>
      </c>
      <c r="D118" s="429"/>
      <c r="E118" s="8" t="s">
        <v>57</v>
      </c>
      <c r="F118" s="281" t="str">
        <f t="shared" si="26"/>
        <v>E2.P_A</v>
      </c>
      <c r="G118" s="489" t="s">
        <v>181</v>
      </c>
      <c r="H118" s="609" t="s">
        <v>302</v>
      </c>
      <c r="I118" s="592"/>
      <c r="J118" s="284" t="s">
        <v>61</v>
      </c>
      <c r="K118" s="285" t="str">
        <f t="shared" si="27"/>
        <v>E2.P_A.MR1</v>
      </c>
      <c r="L118" s="408" t="s">
        <v>275</v>
      </c>
      <c r="M118" s="409" t="s">
        <v>829</v>
      </c>
      <c r="N118" s="610">
        <v>4.7500000000000001E-2</v>
      </c>
      <c r="O118" s="610">
        <v>4.4999999999999998E-2</v>
      </c>
      <c r="P118" s="376" t="s">
        <v>156</v>
      </c>
      <c r="Q118" s="377" t="str">
        <f t="shared" si="28"/>
        <v>E2.P_A.MR1-MP08-1</v>
      </c>
      <c r="R118" s="420" t="s">
        <v>859</v>
      </c>
      <c r="S118" s="314" t="s">
        <v>860</v>
      </c>
      <c r="T118" s="293">
        <v>1</v>
      </c>
      <c r="U118" s="294">
        <v>2</v>
      </c>
      <c r="V118" s="293" t="s">
        <v>67</v>
      </c>
      <c r="W118" s="295">
        <v>0</v>
      </c>
      <c r="X118" s="296">
        <v>1</v>
      </c>
      <c r="Y118" s="295">
        <v>2</v>
      </c>
      <c r="Z118" s="297">
        <v>2</v>
      </c>
      <c r="AA118" s="298"/>
      <c r="AB118" s="299"/>
      <c r="AC118" s="299"/>
      <c r="AD118" s="299"/>
      <c r="AE118" s="299"/>
      <c r="AF118" s="299"/>
      <c r="AG118" s="299"/>
      <c r="AH118" s="299"/>
      <c r="AI118" s="299"/>
      <c r="AJ118" s="299"/>
      <c r="AK118" s="299"/>
      <c r="AL118" s="299"/>
      <c r="AM118" s="299"/>
      <c r="AN118" s="299"/>
      <c r="AO118" s="299"/>
      <c r="AP118" s="299"/>
      <c r="AQ118" s="299"/>
      <c r="AR118" s="299"/>
      <c r="AS118" s="299"/>
      <c r="AT118" s="299"/>
      <c r="AU118" s="299"/>
      <c r="AV118" s="299"/>
      <c r="AW118" s="299"/>
      <c r="AX118" s="299"/>
      <c r="AY118" s="299"/>
      <c r="AZ118" s="299"/>
      <c r="BA118" s="299"/>
      <c r="BB118" s="299"/>
      <c r="BC118" s="300"/>
      <c r="BD118" s="301"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8" t="s">
        <v>859</v>
      </c>
      <c r="EN118" s="274" t="s">
        <v>860</v>
      </c>
      <c r="EO118" s="274">
        <v>1</v>
      </c>
      <c r="EP118" s="807">
        <v>2</v>
      </c>
      <c r="EQ118" s="806">
        <v>0</v>
      </c>
      <c r="ER118" s="814">
        <v>0</v>
      </c>
      <c r="ES118" s="806">
        <v>1</v>
      </c>
      <c r="ET118" s="830">
        <v>1</v>
      </c>
    </row>
    <row r="119" spans="1:150" ht="48" customHeight="1" x14ac:dyDescent="0.2">
      <c r="A119" s="277" t="s">
        <v>76</v>
      </c>
      <c r="B119" s="428" t="s">
        <v>77</v>
      </c>
      <c r="C119" s="429" t="s">
        <v>826</v>
      </c>
      <c r="D119" s="429"/>
      <c r="E119" s="8" t="s">
        <v>57</v>
      </c>
      <c r="F119" s="281" t="str">
        <f t="shared" si="26"/>
        <v>E2.P_A</v>
      </c>
      <c r="G119" s="489" t="s">
        <v>181</v>
      </c>
      <c r="H119" s="609" t="s">
        <v>302</v>
      </c>
      <c r="I119" s="592"/>
      <c r="J119" s="284" t="s">
        <v>61</v>
      </c>
      <c r="K119" s="285" t="str">
        <f t="shared" si="27"/>
        <v>E2.P_A.MR1</v>
      </c>
      <c r="L119" s="408" t="s">
        <v>275</v>
      </c>
      <c r="M119" s="409" t="s">
        <v>829</v>
      </c>
      <c r="N119" s="610">
        <v>4.7500000000000001E-2</v>
      </c>
      <c r="O119" s="610">
        <v>4.4999999999999998E-2</v>
      </c>
      <c r="P119" s="376" t="s">
        <v>515</v>
      </c>
      <c r="Q119" s="377" t="str">
        <f t="shared" si="28"/>
        <v>E2.P_A.MR1-MP09-1</v>
      </c>
      <c r="R119" s="420" t="s">
        <v>863</v>
      </c>
      <c r="S119" s="314" t="s">
        <v>864</v>
      </c>
      <c r="T119" s="319">
        <v>0</v>
      </c>
      <c r="U119" s="320">
        <v>0.4</v>
      </c>
      <c r="V119" s="319" t="s">
        <v>67</v>
      </c>
      <c r="W119" s="295">
        <v>5</v>
      </c>
      <c r="X119" s="296">
        <v>15</v>
      </c>
      <c r="Y119" s="295">
        <v>30</v>
      </c>
      <c r="Z119" s="297">
        <v>40</v>
      </c>
      <c r="AA119" s="324"/>
      <c r="AB119" s="325"/>
      <c r="AC119" s="325"/>
      <c r="AD119" s="325"/>
      <c r="AE119" s="325"/>
      <c r="AF119" s="325"/>
      <c r="AG119" s="325"/>
      <c r="AH119" s="325"/>
      <c r="AI119" s="325"/>
      <c r="AJ119" s="325"/>
      <c r="AK119" s="325"/>
      <c r="AL119" s="325"/>
      <c r="AM119" s="325"/>
      <c r="AN119" s="325"/>
      <c r="AO119" s="325"/>
      <c r="AP119" s="325"/>
      <c r="AQ119" s="325"/>
      <c r="AR119" s="325"/>
      <c r="AS119" s="325"/>
      <c r="AT119" s="325"/>
      <c r="AU119" s="325"/>
      <c r="AV119" s="325"/>
      <c r="AW119" s="325"/>
      <c r="AX119" s="325"/>
      <c r="AY119" s="325"/>
      <c r="AZ119" s="325"/>
      <c r="BA119" s="325"/>
      <c r="BB119" s="325"/>
      <c r="BC119" s="326"/>
      <c r="BD119" s="301"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8" t="s">
        <v>863</v>
      </c>
      <c r="EN119" s="274" t="s">
        <v>864</v>
      </c>
      <c r="EO119" s="275">
        <v>0</v>
      </c>
      <c r="EP119" s="806">
        <v>40</v>
      </c>
      <c r="EQ119" s="806">
        <v>5</v>
      </c>
      <c r="ER119" s="806">
        <v>15</v>
      </c>
      <c r="ES119" s="806">
        <v>30</v>
      </c>
      <c r="ET119" s="836">
        <v>40</v>
      </c>
    </row>
    <row r="120" spans="1:150" ht="49.5" customHeight="1" thickBot="1" x14ac:dyDescent="0.25">
      <c r="A120" s="277" t="s">
        <v>76</v>
      </c>
      <c r="B120" s="428" t="s">
        <v>77</v>
      </c>
      <c r="C120" s="429" t="s">
        <v>826</v>
      </c>
      <c r="D120" s="429"/>
      <c r="E120" s="8" t="s">
        <v>57</v>
      </c>
      <c r="F120" s="281" t="str">
        <f t="shared" si="26"/>
        <v>E2.P_A</v>
      </c>
      <c r="G120" s="494" t="s">
        <v>181</v>
      </c>
      <c r="H120" s="611" t="s">
        <v>302</v>
      </c>
      <c r="I120" s="592"/>
      <c r="J120" s="340" t="s">
        <v>61</v>
      </c>
      <c r="K120" s="400" t="str">
        <f t="shared" si="27"/>
        <v>E2.P_A.MR1</v>
      </c>
      <c r="L120" s="424" t="s">
        <v>275</v>
      </c>
      <c r="M120" s="409" t="s">
        <v>829</v>
      </c>
      <c r="N120" s="612">
        <v>4.7500000000000001E-2</v>
      </c>
      <c r="O120" s="612">
        <v>4.4999999999999998E-2</v>
      </c>
      <c r="P120" s="376" t="s">
        <v>522</v>
      </c>
      <c r="Q120" s="391" t="str">
        <f t="shared" si="28"/>
        <v>E2.P_A.MR1-MP10-1</v>
      </c>
      <c r="R120" s="427" t="s">
        <v>867</v>
      </c>
      <c r="S120" s="349" t="s">
        <v>868</v>
      </c>
      <c r="T120" s="559">
        <v>0</v>
      </c>
      <c r="U120" s="560">
        <v>0.9</v>
      </c>
      <c r="V120" s="559" t="s">
        <v>67</v>
      </c>
      <c r="W120" s="352">
        <v>0</v>
      </c>
      <c r="X120" s="353">
        <v>5</v>
      </c>
      <c r="Y120" s="352">
        <v>40</v>
      </c>
      <c r="Z120" s="354">
        <v>45</v>
      </c>
      <c r="AA120" s="324"/>
      <c r="AB120" s="325"/>
      <c r="AC120" s="325"/>
      <c r="AD120" s="325"/>
      <c r="AE120" s="325"/>
      <c r="AF120" s="325"/>
      <c r="AG120" s="325"/>
      <c r="AH120" s="325"/>
      <c r="AI120" s="325"/>
      <c r="AJ120" s="325"/>
      <c r="AK120" s="325"/>
      <c r="AL120" s="325"/>
      <c r="AM120" s="325"/>
      <c r="AN120" s="325"/>
      <c r="AO120" s="325"/>
      <c r="AP120" s="325"/>
      <c r="AQ120" s="325"/>
      <c r="AR120" s="325"/>
      <c r="AS120" s="325"/>
      <c r="AT120" s="325"/>
      <c r="AU120" s="325"/>
      <c r="AV120" s="325"/>
      <c r="AW120" s="325"/>
      <c r="AX120" s="325"/>
      <c r="AY120" s="325"/>
      <c r="AZ120" s="325"/>
      <c r="BA120" s="325"/>
      <c r="BB120" s="325"/>
      <c r="BC120" s="326"/>
      <c r="BD120" s="301"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8" t="s">
        <v>867</v>
      </c>
      <c r="EN120" s="274" t="s">
        <v>868</v>
      </c>
      <c r="EO120" s="275">
        <v>0</v>
      </c>
      <c r="EP120" s="806">
        <v>90</v>
      </c>
      <c r="EQ120" s="806">
        <v>0</v>
      </c>
      <c r="ER120" s="806">
        <v>5</v>
      </c>
      <c r="ES120" s="806">
        <v>40</v>
      </c>
      <c r="ET120" s="836">
        <v>45</v>
      </c>
    </row>
    <row r="121" spans="1:150" ht="122.25" customHeight="1" x14ac:dyDescent="0.2">
      <c r="A121" s="277" t="s">
        <v>76</v>
      </c>
      <c r="B121" s="428" t="s">
        <v>77</v>
      </c>
      <c r="C121" s="429" t="s">
        <v>826</v>
      </c>
      <c r="D121" s="430" t="s">
        <v>827</v>
      </c>
      <c r="E121" s="3" t="s">
        <v>372</v>
      </c>
      <c r="F121" s="431" t="str">
        <f t="shared" si="26"/>
        <v>E2.P_B</v>
      </c>
      <c r="G121" s="613" t="s">
        <v>192</v>
      </c>
      <c r="H121" s="614" t="s">
        <v>313</v>
      </c>
      <c r="I121" s="615" t="s">
        <v>871</v>
      </c>
      <c r="J121" s="454" t="s">
        <v>61</v>
      </c>
      <c r="K121" s="455" t="str">
        <f t="shared" si="27"/>
        <v>E2.P_B.MR1</v>
      </c>
      <c r="L121" s="360" t="s">
        <v>286</v>
      </c>
      <c r="M121" s="361" t="s">
        <v>872</v>
      </c>
      <c r="N121" s="362">
        <v>184</v>
      </c>
      <c r="O121" s="247">
        <v>230</v>
      </c>
      <c r="P121" s="376" t="s">
        <v>64</v>
      </c>
      <c r="Q121" s="365" t="str">
        <f t="shared" si="28"/>
        <v>E2.P_B.MR1-MP01-1</v>
      </c>
      <c r="R121" s="505" t="s">
        <v>873</v>
      </c>
      <c r="S121" s="506" t="s">
        <v>874</v>
      </c>
      <c r="T121" s="616">
        <v>1</v>
      </c>
      <c r="U121" s="617">
        <v>2</v>
      </c>
      <c r="V121" s="368" t="s">
        <v>67</v>
      </c>
      <c r="W121" s="257">
        <v>0.5</v>
      </c>
      <c r="X121" s="256">
        <v>0.5</v>
      </c>
      <c r="Y121" s="257">
        <v>0.5</v>
      </c>
      <c r="Z121" s="258">
        <v>0.5</v>
      </c>
      <c r="AA121" s="589">
        <f>30000000+30000000+56000000+100000000+15000000</f>
        <v>231000000</v>
      </c>
      <c r="AB121" s="590">
        <v>0</v>
      </c>
      <c r="AC121" s="590">
        <v>100000000</v>
      </c>
      <c r="AD121" s="590">
        <v>0</v>
      </c>
      <c r="AE121" s="590">
        <v>0</v>
      </c>
      <c r="AF121" s="590">
        <v>0</v>
      </c>
      <c r="AG121" s="590">
        <f t="shared" ref="AG121" si="68">SUM(AA121:AF121)</f>
        <v>331000000</v>
      </c>
      <c r="AH121" s="590">
        <f t="shared" ref="AH121:AM121" si="69">AA121*1.035</f>
        <v>239084999.99999997</v>
      </c>
      <c r="AI121" s="590">
        <f t="shared" si="69"/>
        <v>0</v>
      </c>
      <c r="AJ121" s="590">
        <f t="shared" si="69"/>
        <v>103499999.99999999</v>
      </c>
      <c r="AK121" s="590">
        <f t="shared" si="69"/>
        <v>0</v>
      </c>
      <c r="AL121" s="590">
        <f t="shared" si="69"/>
        <v>0</v>
      </c>
      <c r="AM121" s="590">
        <f t="shared" si="69"/>
        <v>0</v>
      </c>
      <c r="AN121" s="590">
        <f t="shared" ref="AN121" si="70">SUM(AH121:AM121)</f>
        <v>342584999.99999994</v>
      </c>
      <c r="AO121" s="590">
        <f t="shared" ref="AO121:AT121" si="71">AH121*1.035</f>
        <v>247452974.99999994</v>
      </c>
      <c r="AP121" s="590">
        <f t="shared" si="71"/>
        <v>0</v>
      </c>
      <c r="AQ121" s="590">
        <f t="shared" si="71"/>
        <v>107122499.99999997</v>
      </c>
      <c r="AR121" s="590">
        <f t="shared" si="71"/>
        <v>0</v>
      </c>
      <c r="AS121" s="590">
        <f t="shared" si="71"/>
        <v>0</v>
      </c>
      <c r="AT121" s="590">
        <f t="shared" si="71"/>
        <v>0</v>
      </c>
      <c r="AU121" s="590">
        <f t="shared" ref="AU121" si="72">SUM(AO121:AT121)</f>
        <v>354575474.99999988</v>
      </c>
      <c r="AV121" s="590">
        <f t="shared" ref="AV121:BA121" si="73">AO121*1.035</f>
        <v>256113829.12499991</v>
      </c>
      <c r="AW121" s="590">
        <f t="shared" si="73"/>
        <v>0</v>
      </c>
      <c r="AX121" s="590">
        <f t="shared" si="73"/>
        <v>110871787.49999996</v>
      </c>
      <c r="AY121" s="590">
        <f t="shared" si="73"/>
        <v>0</v>
      </c>
      <c r="AZ121" s="590">
        <f t="shared" si="73"/>
        <v>0</v>
      </c>
      <c r="BA121" s="590">
        <f t="shared" si="73"/>
        <v>0</v>
      </c>
      <c r="BB121" s="590">
        <f t="shared" ref="BB121" si="74">SUM(AV121:BA121)</f>
        <v>366985616.62499988</v>
      </c>
      <c r="BC121" s="591">
        <f t="shared" ref="BC121" si="75">+AG121+AN121+AU121+BB121</f>
        <v>1395146091.6249998</v>
      </c>
      <c r="BD121" s="301"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8" t="s">
        <v>873</v>
      </c>
      <c r="EN121" s="274" t="s">
        <v>874</v>
      </c>
      <c r="EO121" s="274">
        <v>1</v>
      </c>
      <c r="EP121" s="276">
        <v>2</v>
      </c>
      <c r="EQ121" s="276">
        <v>0.5</v>
      </c>
      <c r="ER121" s="276">
        <v>0.5</v>
      </c>
      <c r="ES121" s="276">
        <v>0.5</v>
      </c>
      <c r="ET121" s="829">
        <v>0.5</v>
      </c>
    </row>
    <row r="122" spans="1:150" ht="53.25" customHeight="1" x14ac:dyDescent="0.2">
      <c r="A122" s="277" t="s">
        <v>76</v>
      </c>
      <c r="B122" s="428" t="s">
        <v>77</v>
      </c>
      <c r="C122" s="429" t="s">
        <v>826</v>
      </c>
      <c r="D122" s="429"/>
      <c r="E122" s="8" t="s">
        <v>372</v>
      </c>
      <c r="F122" s="281" t="str">
        <f t="shared" si="26"/>
        <v>E2.P_B</v>
      </c>
      <c r="G122" s="452" t="s">
        <v>192</v>
      </c>
      <c r="H122" s="452" t="s">
        <v>313</v>
      </c>
      <c r="I122" s="456"/>
      <c r="J122" s="457" t="s">
        <v>61</v>
      </c>
      <c r="K122" s="373" t="str">
        <f t="shared" si="27"/>
        <v>E2.P_B.MR1</v>
      </c>
      <c r="L122" s="511" t="s">
        <v>286</v>
      </c>
      <c r="M122" s="512" t="s">
        <v>872</v>
      </c>
      <c r="N122" s="374">
        <v>184</v>
      </c>
      <c r="O122" s="288">
        <v>230</v>
      </c>
      <c r="P122" s="376" t="s">
        <v>87</v>
      </c>
      <c r="Q122" s="377" t="str">
        <f t="shared" si="28"/>
        <v>E2.P_B.MR1-MP02-1</v>
      </c>
      <c r="R122" s="420" t="s">
        <v>877</v>
      </c>
      <c r="S122" s="314" t="s">
        <v>878</v>
      </c>
      <c r="T122" s="293">
        <v>281</v>
      </c>
      <c r="U122" s="294">
        <v>600</v>
      </c>
      <c r="V122" s="293" t="s">
        <v>67</v>
      </c>
      <c r="W122" s="295">
        <v>150</v>
      </c>
      <c r="X122" s="296">
        <v>150</v>
      </c>
      <c r="Y122" s="295">
        <v>150</v>
      </c>
      <c r="Z122" s="297">
        <v>150</v>
      </c>
      <c r="AA122" s="298"/>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300"/>
      <c r="BD122" s="301"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8" t="s">
        <v>877</v>
      </c>
      <c r="EN122" s="274" t="s">
        <v>878</v>
      </c>
      <c r="EO122" s="274">
        <v>281</v>
      </c>
      <c r="EP122" s="274">
        <v>600</v>
      </c>
      <c r="EQ122" s="275">
        <v>150</v>
      </c>
      <c r="ER122" s="275">
        <v>150</v>
      </c>
      <c r="ES122" s="275">
        <v>150</v>
      </c>
      <c r="ET122" s="826">
        <v>150</v>
      </c>
    </row>
    <row r="123" spans="1:150" ht="30" customHeight="1" x14ac:dyDescent="0.2">
      <c r="A123" s="277" t="s">
        <v>76</v>
      </c>
      <c r="B123" s="428" t="s">
        <v>77</v>
      </c>
      <c r="C123" s="429" t="s">
        <v>826</v>
      </c>
      <c r="D123" s="429"/>
      <c r="E123" s="8" t="s">
        <v>372</v>
      </c>
      <c r="F123" s="281" t="str">
        <f t="shared" si="26"/>
        <v>E2.P_B</v>
      </c>
      <c r="G123" s="452" t="s">
        <v>192</v>
      </c>
      <c r="H123" s="452" t="s">
        <v>313</v>
      </c>
      <c r="I123" s="456"/>
      <c r="J123" s="457" t="s">
        <v>61</v>
      </c>
      <c r="K123" s="373" t="str">
        <f t="shared" si="27"/>
        <v>E2.P_B.MR1</v>
      </c>
      <c r="L123" s="511" t="s">
        <v>286</v>
      </c>
      <c r="M123" s="512" t="s">
        <v>872</v>
      </c>
      <c r="N123" s="374">
        <v>184</v>
      </c>
      <c r="O123" s="288">
        <v>230</v>
      </c>
      <c r="P123" s="376" t="s">
        <v>99</v>
      </c>
      <c r="Q123" s="377" t="str">
        <f t="shared" si="28"/>
        <v>E2.P_B.MR1-MP03-1</v>
      </c>
      <c r="R123" s="420" t="s">
        <v>881</v>
      </c>
      <c r="S123" s="314" t="s">
        <v>882</v>
      </c>
      <c r="T123" s="380">
        <v>0</v>
      </c>
      <c r="U123" s="381">
        <v>1</v>
      </c>
      <c r="V123" s="380" t="s">
        <v>67</v>
      </c>
      <c r="W123" s="315">
        <v>0.2</v>
      </c>
      <c r="X123" s="330">
        <v>0.3</v>
      </c>
      <c r="Y123" s="315">
        <v>0.3</v>
      </c>
      <c r="Z123" s="316">
        <v>0.2</v>
      </c>
      <c r="AA123" s="382"/>
      <c r="AB123" s="383"/>
      <c r="AC123" s="383"/>
      <c r="AD123" s="383"/>
      <c r="AE123" s="383"/>
      <c r="AF123" s="383"/>
      <c r="AG123" s="383"/>
      <c r="AH123" s="383"/>
      <c r="AI123" s="383"/>
      <c r="AJ123" s="383"/>
      <c r="AK123" s="383"/>
      <c r="AL123" s="383"/>
      <c r="AM123" s="383"/>
      <c r="AN123" s="383"/>
      <c r="AO123" s="383"/>
      <c r="AP123" s="383"/>
      <c r="AQ123" s="383"/>
      <c r="AR123" s="383"/>
      <c r="AS123" s="383"/>
      <c r="AT123" s="383"/>
      <c r="AU123" s="383"/>
      <c r="AV123" s="383"/>
      <c r="AW123" s="383"/>
      <c r="AX123" s="383"/>
      <c r="AY123" s="383"/>
      <c r="AZ123" s="383"/>
      <c r="BA123" s="383"/>
      <c r="BB123" s="383"/>
      <c r="BC123" s="384"/>
      <c r="BD123" s="301"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8" t="s">
        <v>881</v>
      </c>
      <c r="EN123" s="274" t="s">
        <v>882</v>
      </c>
      <c r="EO123" s="385">
        <v>0</v>
      </c>
      <c r="EP123" s="385">
        <v>1</v>
      </c>
      <c r="EQ123" s="276">
        <v>0.2</v>
      </c>
      <c r="ER123" s="815">
        <v>0</v>
      </c>
      <c r="ES123" s="815">
        <v>0.4</v>
      </c>
      <c r="ET123" s="824">
        <v>0.4</v>
      </c>
    </row>
    <row r="124" spans="1:150" ht="49.5" customHeight="1" thickBot="1" x14ac:dyDescent="0.25">
      <c r="A124" s="277" t="s">
        <v>76</v>
      </c>
      <c r="B124" s="428" t="s">
        <v>77</v>
      </c>
      <c r="C124" s="429" t="s">
        <v>826</v>
      </c>
      <c r="D124" s="429"/>
      <c r="E124" s="8" t="s">
        <v>372</v>
      </c>
      <c r="F124" s="281" t="str">
        <f t="shared" si="26"/>
        <v>E2.P_B</v>
      </c>
      <c r="G124" s="452" t="s">
        <v>192</v>
      </c>
      <c r="H124" s="452" t="s">
        <v>313</v>
      </c>
      <c r="I124" s="462"/>
      <c r="J124" s="463" t="s">
        <v>61</v>
      </c>
      <c r="K124" s="464" t="str">
        <f t="shared" si="27"/>
        <v>E2.P_B.MR1</v>
      </c>
      <c r="L124" s="547" t="s">
        <v>286</v>
      </c>
      <c r="M124" s="548" t="s">
        <v>872</v>
      </c>
      <c r="N124" s="388">
        <v>184</v>
      </c>
      <c r="O124" s="426">
        <v>230</v>
      </c>
      <c r="P124" s="376" t="s">
        <v>112</v>
      </c>
      <c r="Q124" s="391" t="str">
        <f t="shared" si="28"/>
        <v>E2.P_B.MR1-MP04-1</v>
      </c>
      <c r="R124" s="475" t="s">
        <v>885</v>
      </c>
      <c r="S124" s="337" t="s">
        <v>886</v>
      </c>
      <c r="T124" s="618">
        <v>1</v>
      </c>
      <c r="U124" s="619">
        <v>3</v>
      </c>
      <c r="V124" s="392" t="s">
        <v>67</v>
      </c>
      <c r="W124" s="402">
        <v>0.5</v>
      </c>
      <c r="X124" s="620">
        <v>0.5</v>
      </c>
      <c r="Y124" s="352">
        <v>1</v>
      </c>
      <c r="Z124" s="354">
        <v>1</v>
      </c>
      <c r="AA124" s="382"/>
      <c r="AB124" s="383"/>
      <c r="AC124" s="383"/>
      <c r="AD124" s="383"/>
      <c r="AE124" s="383"/>
      <c r="AF124" s="383"/>
      <c r="AG124" s="383"/>
      <c r="AH124" s="383"/>
      <c r="AI124" s="383"/>
      <c r="AJ124" s="383"/>
      <c r="AK124" s="383"/>
      <c r="AL124" s="383"/>
      <c r="AM124" s="383"/>
      <c r="AN124" s="383"/>
      <c r="AO124" s="383"/>
      <c r="AP124" s="383"/>
      <c r="AQ124" s="383"/>
      <c r="AR124" s="383"/>
      <c r="AS124" s="383"/>
      <c r="AT124" s="383"/>
      <c r="AU124" s="383"/>
      <c r="AV124" s="383"/>
      <c r="AW124" s="383"/>
      <c r="AX124" s="383"/>
      <c r="AY124" s="383"/>
      <c r="AZ124" s="383"/>
      <c r="BA124" s="383"/>
      <c r="BB124" s="383"/>
      <c r="BC124" s="384"/>
      <c r="BD124" s="301"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8" t="s">
        <v>885</v>
      </c>
      <c r="EN124" s="274" t="s">
        <v>886</v>
      </c>
      <c r="EO124" s="385">
        <v>1</v>
      </c>
      <c r="EP124" s="385">
        <v>3</v>
      </c>
      <c r="EQ124" s="276">
        <v>0.5</v>
      </c>
      <c r="ER124" s="276">
        <v>0.5</v>
      </c>
      <c r="ES124" s="275">
        <v>1</v>
      </c>
      <c r="ET124" s="826">
        <v>1</v>
      </c>
    </row>
    <row r="125" spans="1:150" ht="132.75" customHeight="1" x14ac:dyDescent="0.2">
      <c r="A125" s="277" t="s">
        <v>76</v>
      </c>
      <c r="B125" s="428" t="s">
        <v>77</v>
      </c>
      <c r="C125" s="429" t="s">
        <v>826</v>
      </c>
      <c r="D125" s="430" t="s">
        <v>827</v>
      </c>
      <c r="E125" s="3" t="s">
        <v>530</v>
      </c>
      <c r="F125" s="431" t="str">
        <f t="shared" si="26"/>
        <v>E2.P_C</v>
      </c>
      <c r="G125" s="432" t="s">
        <v>203</v>
      </c>
      <c r="H125" s="477" t="s">
        <v>324</v>
      </c>
      <c r="I125" s="453" t="s">
        <v>889</v>
      </c>
      <c r="J125" s="454" t="s">
        <v>61</v>
      </c>
      <c r="K125" s="415" t="str">
        <f t="shared" si="27"/>
        <v>E2.P_C.MR1</v>
      </c>
      <c r="L125" s="514" t="s">
        <v>297</v>
      </c>
      <c r="M125" s="515" t="s">
        <v>890</v>
      </c>
      <c r="N125" s="362">
        <v>0</v>
      </c>
      <c r="O125" s="247">
        <v>80</v>
      </c>
      <c r="P125" s="376" t="s">
        <v>64</v>
      </c>
      <c r="Q125" s="365" t="str">
        <f t="shared" si="28"/>
        <v>E2.P_C.MR1-MP01-1</v>
      </c>
      <c r="R125" s="621" t="s">
        <v>891</v>
      </c>
      <c r="S125" s="519" t="s">
        <v>892</v>
      </c>
      <c r="T125" s="622">
        <v>0</v>
      </c>
      <c r="U125" s="623">
        <v>0.7</v>
      </c>
      <c r="V125" s="622" t="s">
        <v>67</v>
      </c>
      <c r="W125" s="624">
        <v>0.1</v>
      </c>
      <c r="X125" s="625">
        <v>0.2</v>
      </c>
      <c r="Y125" s="624">
        <v>0.2</v>
      </c>
      <c r="Z125" s="626">
        <v>0.2</v>
      </c>
      <c r="AA125" s="589">
        <f>20000000-60000000+100000000</f>
        <v>60000000</v>
      </c>
      <c r="AB125" s="590">
        <v>0</v>
      </c>
      <c r="AC125" s="590">
        <f>100000000-100000000</f>
        <v>0</v>
      </c>
      <c r="AD125" s="590">
        <v>0</v>
      </c>
      <c r="AE125" s="590">
        <v>0</v>
      </c>
      <c r="AF125" s="590">
        <v>0</v>
      </c>
      <c r="AG125" s="590">
        <f t="shared" ref="AG125" si="76">SUM(AA125:AF125)</f>
        <v>60000000</v>
      </c>
      <c r="AH125" s="590">
        <f t="shared" ref="AH125:AM125" si="77">AA125*1.035</f>
        <v>62099999.999999993</v>
      </c>
      <c r="AI125" s="590">
        <f t="shared" si="77"/>
        <v>0</v>
      </c>
      <c r="AJ125" s="590">
        <f t="shared" si="77"/>
        <v>0</v>
      </c>
      <c r="AK125" s="590">
        <f t="shared" si="77"/>
        <v>0</v>
      </c>
      <c r="AL125" s="590">
        <f t="shared" si="77"/>
        <v>0</v>
      </c>
      <c r="AM125" s="590">
        <f t="shared" si="77"/>
        <v>0</v>
      </c>
      <c r="AN125" s="590">
        <f t="shared" ref="AN125" si="78">SUM(AH125:AM125)</f>
        <v>62099999.999999993</v>
      </c>
      <c r="AO125" s="590">
        <f t="shared" ref="AO125:AT125" si="79">AH125*1.035</f>
        <v>64273499.999999985</v>
      </c>
      <c r="AP125" s="590">
        <f t="shared" si="79"/>
        <v>0</v>
      </c>
      <c r="AQ125" s="590">
        <f t="shared" si="79"/>
        <v>0</v>
      </c>
      <c r="AR125" s="590">
        <f t="shared" si="79"/>
        <v>0</v>
      </c>
      <c r="AS125" s="590">
        <f t="shared" si="79"/>
        <v>0</v>
      </c>
      <c r="AT125" s="590">
        <f t="shared" si="79"/>
        <v>0</v>
      </c>
      <c r="AU125" s="590">
        <f t="shared" ref="AU125" si="80">SUM(AO125:AT125)</f>
        <v>64273499.999999985</v>
      </c>
      <c r="AV125" s="590">
        <f t="shared" ref="AV125:BA125" si="81">AO125*1.035</f>
        <v>66523072.499999978</v>
      </c>
      <c r="AW125" s="590">
        <f t="shared" si="81"/>
        <v>0</v>
      </c>
      <c r="AX125" s="590">
        <f t="shared" si="81"/>
        <v>0</v>
      </c>
      <c r="AY125" s="590">
        <f t="shared" si="81"/>
        <v>0</v>
      </c>
      <c r="AZ125" s="590">
        <f t="shared" si="81"/>
        <v>0</v>
      </c>
      <c r="BA125" s="590">
        <f t="shared" si="81"/>
        <v>0</v>
      </c>
      <c r="BB125" s="590">
        <f t="shared" ref="BB125" si="82">SUM(AV125:BA125)</f>
        <v>66523072.499999978</v>
      </c>
      <c r="BC125" s="591">
        <f t="shared" ref="BC125" si="83">+AG125+AN125+AU125+BB125</f>
        <v>252896572.49999997</v>
      </c>
      <c r="BD125" s="301"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8" t="s">
        <v>891</v>
      </c>
      <c r="EN125" s="274" t="s">
        <v>892</v>
      </c>
      <c r="EO125" s="276">
        <v>0</v>
      </c>
      <c r="EP125" s="276">
        <v>70</v>
      </c>
      <c r="EQ125" s="276">
        <v>10</v>
      </c>
      <c r="ER125" s="815">
        <v>0</v>
      </c>
      <c r="ES125" s="815">
        <v>30</v>
      </c>
      <c r="ET125" s="824">
        <v>30</v>
      </c>
    </row>
    <row r="126" spans="1:150" ht="84" customHeight="1" x14ac:dyDescent="0.2">
      <c r="A126" s="277" t="s">
        <v>76</v>
      </c>
      <c r="B126" s="428" t="s">
        <v>77</v>
      </c>
      <c r="C126" s="429" t="s">
        <v>826</v>
      </c>
      <c r="D126" s="429"/>
      <c r="E126" s="8" t="s">
        <v>530</v>
      </c>
      <c r="F126" s="281" t="str">
        <f t="shared" si="26"/>
        <v>E2.P_C</v>
      </c>
      <c r="G126" s="452" t="s">
        <v>203</v>
      </c>
      <c r="H126" s="452" t="s">
        <v>324</v>
      </c>
      <c r="I126" s="456"/>
      <c r="J126" s="457" t="s">
        <v>61</v>
      </c>
      <c r="K126" s="373" t="str">
        <f t="shared" si="27"/>
        <v>E2.P_C.MR1</v>
      </c>
      <c r="L126" s="408" t="s">
        <v>297</v>
      </c>
      <c r="M126" s="409" t="s">
        <v>890</v>
      </c>
      <c r="N126" s="374">
        <v>0</v>
      </c>
      <c r="O126" s="288">
        <v>80</v>
      </c>
      <c r="P126" s="376" t="s">
        <v>87</v>
      </c>
      <c r="Q126" s="377" t="str">
        <f t="shared" si="28"/>
        <v>E2.P_C.MR1-MP02-1</v>
      </c>
      <c r="R126" s="627" t="s">
        <v>895</v>
      </c>
      <c r="S126" s="528" t="s">
        <v>896</v>
      </c>
      <c r="T126" s="529">
        <v>0</v>
      </c>
      <c r="U126" s="530">
        <v>1</v>
      </c>
      <c r="V126" s="529" t="s">
        <v>67</v>
      </c>
      <c r="W126" s="531">
        <v>0.2</v>
      </c>
      <c r="X126" s="532">
        <v>0.3</v>
      </c>
      <c r="Y126" s="531">
        <v>0.3</v>
      </c>
      <c r="Z126" s="540">
        <v>0.2</v>
      </c>
      <c r="AA126" s="535"/>
      <c r="AB126" s="536"/>
      <c r="AC126" s="536"/>
      <c r="AD126" s="536"/>
      <c r="AE126" s="536"/>
      <c r="AF126" s="536"/>
      <c r="AG126" s="536"/>
      <c r="AH126" s="536"/>
      <c r="AI126" s="536"/>
      <c r="AJ126" s="536"/>
      <c r="AK126" s="536"/>
      <c r="AL126" s="536"/>
      <c r="AM126" s="536"/>
      <c r="AN126" s="536"/>
      <c r="AO126" s="536"/>
      <c r="AP126" s="536"/>
      <c r="AQ126" s="536"/>
      <c r="AR126" s="536"/>
      <c r="AS126" s="536"/>
      <c r="AT126" s="536"/>
      <c r="AU126" s="536"/>
      <c r="AV126" s="536"/>
      <c r="AW126" s="536"/>
      <c r="AX126" s="536"/>
      <c r="AY126" s="536"/>
      <c r="AZ126" s="536"/>
      <c r="BA126" s="536"/>
      <c r="BB126" s="536"/>
      <c r="BC126" s="537"/>
      <c r="BD126" s="301"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8" t="s">
        <v>895</v>
      </c>
      <c r="EN126" s="274" t="s">
        <v>896</v>
      </c>
      <c r="EO126" s="274">
        <v>0</v>
      </c>
      <c r="EP126" s="274">
        <v>1</v>
      </c>
      <c r="EQ126" s="276">
        <v>0.2</v>
      </c>
      <c r="ER126" s="815">
        <v>0.2</v>
      </c>
      <c r="ES126" s="276">
        <v>0.3</v>
      </c>
      <c r="ET126" s="824">
        <v>0.3</v>
      </c>
    </row>
    <row r="127" spans="1:150" ht="56.25" customHeight="1" thickBot="1" x14ac:dyDescent="0.25">
      <c r="A127" s="277" t="s">
        <v>76</v>
      </c>
      <c r="B127" s="428" t="s">
        <v>77</v>
      </c>
      <c r="C127" s="429" t="s">
        <v>826</v>
      </c>
      <c r="D127" s="429"/>
      <c r="E127" s="8" t="s">
        <v>530</v>
      </c>
      <c r="F127" s="281" t="str">
        <f t="shared" si="26"/>
        <v>E2.P_C</v>
      </c>
      <c r="G127" s="564" t="s">
        <v>203</v>
      </c>
      <c r="H127" s="564" t="s">
        <v>324</v>
      </c>
      <c r="I127" s="462"/>
      <c r="J127" s="463" t="s">
        <v>61</v>
      </c>
      <c r="K127" s="464" t="str">
        <f t="shared" si="27"/>
        <v>E2.P_C.MR1</v>
      </c>
      <c r="L127" s="424" t="s">
        <v>297</v>
      </c>
      <c r="M127" s="425" t="s">
        <v>890</v>
      </c>
      <c r="N127" s="388">
        <v>0</v>
      </c>
      <c r="O127" s="426">
        <v>80</v>
      </c>
      <c r="P127" s="376" t="s">
        <v>99</v>
      </c>
      <c r="Q127" s="391" t="str">
        <f t="shared" si="28"/>
        <v>E2.P_C.MR1-MP03-1</v>
      </c>
      <c r="R127" s="628" t="s">
        <v>899</v>
      </c>
      <c r="S127" s="551" t="s">
        <v>900</v>
      </c>
      <c r="T127" s="629">
        <v>0</v>
      </c>
      <c r="U127" s="630">
        <v>4</v>
      </c>
      <c r="V127" s="552" t="s">
        <v>67</v>
      </c>
      <c r="W127" s="554">
        <v>1</v>
      </c>
      <c r="X127" s="555">
        <v>1</v>
      </c>
      <c r="Y127" s="554">
        <v>1</v>
      </c>
      <c r="Z127" s="556">
        <v>1</v>
      </c>
      <c r="AA127" s="535"/>
      <c r="AB127" s="536"/>
      <c r="AC127" s="536"/>
      <c r="AD127" s="536"/>
      <c r="AE127" s="536"/>
      <c r="AF127" s="536"/>
      <c r="AG127" s="536"/>
      <c r="AH127" s="536"/>
      <c r="AI127" s="536"/>
      <c r="AJ127" s="536"/>
      <c r="AK127" s="536"/>
      <c r="AL127" s="536"/>
      <c r="AM127" s="536"/>
      <c r="AN127" s="536"/>
      <c r="AO127" s="536"/>
      <c r="AP127" s="536"/>
      <c r="AQ127" s="536"/>
      <c r="AR127" s="536"/>
      <c r="AS127" s="536"/>
      <c r="AT127" s="536"/>
      <c r="AU127" s="536"/>
      <c r="AV127" s="536"/>
      <c r="AW127" s="536"/>
      <c r="AX127" s="536"/>
      <c r="AY127" s="536"/>
      <c r="AZ127" s="536"/>
      <c r="BA127" s="536"/>
      <c r="BB127" s="536"/>
      <c r="BC127" s="537"/>
      <c r="BD127" s="301"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8" t="s">
        <v>899</v>
      </c>
      <c r="EN127" s="274" t="s">
        <v>900</v>
      </c>
      <c r="EO127" s="274">
        <v>0</v>
      </c>
      <c r="EP127" s="274">
        <v>4</v>
      </c>
      <c r="EQ127" s="275">
        <v>1</v>
      </c>
      <c r="ER127" s="275">
        <v>1</v>
      </c>
      <c r="ES127" s="275">
        <v>1</v>
      </c>
      <c r="ET127" s="826">
        <v>1</v>
      </c>
    </row>
    <row r="128" spans="1:150" ht="107.25" customHeight="1" x14ac:dyDescent="0.2">
      <c r="A128" s="277" t="s">
        <v>76</v>
      </c>
      <c r="B128" s="428" t="s">
        <v>77</v>
      </c>
      <c r="C128" s="429" t="s">
        <v>826</v>
      </c>
      <c r="D128" s="430" t="s">
        <v>827</v>
      </c>
      <c r="E128" s="3" t="s">
        <v>641</v>
      </c>
      <c r="F128" s="431" t="str">
        <f t="shared" si="26"/>
        <v>E2.P_D</v>
      </c>
      <c r="G128" s="432" t="s">
        <v>218</v>
      </c>
      <c r="H128" s="477" t="s">
        <v>338</v>
      </c>
      <c r="I128" s="453" t="s">
        <v>903</v>
      </c>
      <c r="J128" s="454" t="s">
        <v>61</v>
      </c>
      <c r="K128" s="455" t="str">
        <f t="shared" si="27"/>
        <v>E2.P_D.MR1</v>
      </c>
      <c r="L128" s="631" t="s">
        <v>309</v>
      </c>
      <c r="M128" s="361" t="s">
        <v>904</v>
      </c>
      <c r="N128" s="362">
        <v>0</v>
      </c>
      <c r="O128" s="247">
        <v>2</v>
      </c>
      <c r="P128" s="376" t="s">
        <v>64</v>
      </c>
      <c r="Q128" s="365" t="str">
        <f t="shared" si="28"/>
        <v>E2.P_D.MR1-MP01-1</v>
      </c>
      <c r="R128" s="416" t="s">
        <v>905</v>
      </c>
      <c r="S128" s="367" t="s">
        <v>906</v>
      </c>
      <c r="T128" s="368">
        <v>0</v>
      </c>
      <c r="U128" s="369">
        <v>2</v>
      </c>
      <c r="V128" s="368" t="s">
        <v>67</v>
      </c>
      <c r="W128" s="257">
        <v>0.5</v>
      </c>
      <c r="X128" s="256">
        <v>0.5</v>
      </c>
      <c r="Y128" s="257">
        <v>0.5</v>
      </c>
      <c r="Z128" s="258">
        <v>0.5</v>
      </c>
      <c r="AA128" s="589">
        <f>300000000+153200000+6800000-360000000</f>
        <v>100000000</v>
      </c>
      <c r="AB128" s="590">
        <v>0</v>
      </c>
      <c r="AC128" s="590">
        <v>200000000</v>
      </c>
      <c r="AD128" s="590">
        <v>0</v>
      </c>
      <c r="AE128" s="590">
        <v>0</v>
      </c>
      <c r="AF128" s="590">
        <v>0</v>
      </c>
      <c r="AG128" s="590">
        <f t="shared" ref="AG128" si="84">SUM(AA128:AF128)</f>
        <v>300000000</v>
      </c>
      <c r="AH128" s="590">
        <f t="shared" ref="AH128:AM128" si="85">AA128*1.035</f>
        <v>103499999.99999999</v>
      </c>
      <c r="AI128" s="590">
        <f t="shared" si="85"/>
        <v>0</v>
      </c>
      <c r="AJ128" s="590">
        <f t="shared" si="85"/>
        <v>206999999.99999997</v>
      </c>
      <c r="AK128" s="590">
        <f t="shared" si="85"/>
        <v>0</v>
      </c>
      <c r="AL128" s="590">
        <f t="shared" si="85"/>
        <v>0</v>
      </c>
      <c r="AM128" s="590">
        <f t="shared" si="85"/>
        <v>0</v>
      </c>
      <c r="AN128" s="590">
        <f t="shared" ref="AN128" si="86">SUM(AH128:AM128)</f>
        <v>310499999.99999994</v>
      </c>
      <c r="AO128" s="590">
        <f t="shared" ref="AO128:AT128" si="87">AH128*1.035</f>
        <v>107122499.99999997</v>
      </c>
      <c r="AP128" s="590">
        <f t="shared" si="87"/>
        <v>0</v>
      </c>
      <c r="AQ128" s="590">
        <f t="shared" si="87"/>
        <v>214244999.99999994</v>
      </c>
      <c r="AR128" s="590">
        <f t="shared" si="87"/>
        <v>0</v>
      </c>
      <c r="AS128" s="590">
        <f t="shared" si="87"/>
        <v>0</v>
      </c>
      <c r="AT128" s="590">
        <f t="shared" si="87"/>
        <v>0</v>
      </c>
      <c r="AU128" s="590">
        <f t="shared" ref="AU128" si="88">SUM(AO128:AT128)</f>
        <v>321367499.99999988</v>
      </c>
      <c r="AV128" s="590">
        <f t="shared" ref="AV128:BA128" si="89">AO128*1.035</f>
        <v>110871787.49999996</v>
      </c>
      <c r="AW128" s="590">
        <f t="shared" si="89"/>
        <v>0</v>
      </c>
      <c r="AX128" s="590">
        <f t="shared" si="89"/>
        <v>221743574.99999991</v>
      </c>
      <c r="AY128" s="590">
        <f t="shared" si="89"/>
        <v>0</v>
      </c>
      <c r="AZ128" s="590">
        <f t="shared" si="89"/>
        <v>0</v>
      </c>
      <c r="BA128" s="590">
        <f t="shared" si="89"/>
        <v>0</v>
      </c>
      <c r="BB128" s="590">
        <f t="shared" ref="BB128" si="90">SUM(AV128:BA128)</f>
        <v>332615362.49999988</v>
      </c>
      <c r="BC128" s="591">
        <f t="shared" ref="BC128" si="91">+AG128+AN128+AU128+BB128</f>
        <v>1264482862.4999998</v>
      </c>
      <c r="BD128" s="301"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8" t="s">
        <v>905</v>
      </c>
      <c r="EN128" s="274" t="s">
        <v>906</v>
      </c>
      <c r="EO128" s="274">
        <v>0</v>
      </c>
      <c r="EP128" s="274">
        <v>2</v>
      </c>
      <c r="EQ128" s="276">
        <v>0.5</v>
      </c>
      <c r="ER128" s="276">
        <v>0.5</v>
      </c>
      <c r="ES128" s="276">
        <v>0.5</v>
      </c>
      <c r="ET128" s="829">
        <v>0.5</v>
      </c>
    </row>
    <row r="129" spans="1:150" ht="62.25" customHeight="1" x14ac:dyDescent="0.2">
      <c r="A129" s="277" t="s">
        <v>76</v>
      </c>
      <c r="B129" s="428" t="s">
        <v>77</v>
      </c>
      <c r="C129" s="429" t="s">
        <v>826</v>
      </c>
      <c r="D129" s="429"/>
      <c r="E129" s="8" t="s">
        <v>641</v>
      </c>
      <c r="F129" s="281" t="str">
        <f t="shared" si="26"/>
        <v>E2.P_D</v>
      </c>
      <c r="G129" s="452" t="s">
        <v>218</v>
      </c>
      <c r="H129" s="452" t="s">
        <v>338</v>
      </c>
      <c r="I129" s="456"/>
      <c r="J129" s="457" t="s">
        <v>61</v>
      </c>
      <c r="K129" s="373" t="str">
        <f t="shared" si="27"/>
        <v>E2.P_D.MR1</v>
      </c>
      <c r="L129" s="408" t="s">
        <v>309</v>
      </c>
      <c r="M129" s="409" t="s">
        <v>904</v>
      </c>
      <c r="N129" s="374">
        <v>0</v>
      </c>
      <c r="O129" s="288">
        <v>2</v>
      </c>
      <c r="P129" s="376" t="s">
        <v>87</v>
      </c>
      <c r="Q129" s="377" t="str">
        <f t="shared" si="28"/>
        <v>E2.P_D.MR1-MP02-1</v>
      </c>
      <c r="R129" s="420" t="s">
        <v>909</v>
      </c>
      <c r="S129" s="314" t="s">
        <v>910</v>
      </c>
      <c r="T129" s="293">
        <v>0</v>
      </c>
      <c r="U129" s="294">
        <v>200</v>
      </c>
      <c r="V129" s="293" t="s">
        <v>67</v>
      </c>
      <c r="W129" s="295">
        <v>50</v>
      </c>
      <c r="X129" s="296">
        <v>50</v>
      </c>
      <c r="Y129" s="295">
        <v>50</v>
      </c>
      <c r="Z129" s="297">
        <v>50</v>
      </c>
      <c r="AA129" s="298"/>
      <c r="AB129" s="299"/>
      <c r="AC129" s="299"/>
      <c r="AD129" s="299"/>
      <c r="AE129" s="299"/>
      <c r="AF129" s="299"/>
      <c r="AG129" s="299"/>
      <c r="AH129" s="299"/>
      <c r="AI129" s="299"/>
      <c r="AJ129" s="299"/>
      <c r="AK129" s="299"/>
      <c r="AL129" s="299"/>
      <c r="AM129" s="299"/>
      <c r="AN129" s="299"/>
      <c r="AO129" s="299"/>
      <c r="AP129" s="299"/>
      <c r="AQ129" s="299"/>
      <c r="AR129" s="299"/>
      <c r="AS129" s="299"/>
      <c r="AT129" s="299"/>
      <c r="AU129" s="299"/>
      <c r="AV129" s="299"/>
      <c r="AW129" s="299"/>
      <c r="AX129" s="299"/>
      <c r="AY129" s="299"/>
      <c r="AZ129" s="299"/>
      <c r="BA129" s="299"/>
      <c r="BB129" s="299"/>
      <c r="BC129" s="300"/>
      <c r="BD129" s="301"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8" t="s">
        <v>909</v>
      </c>
      <c r="EN129" s="274" t="s">
        <v>910</v>
      </c>
      <c r="EO129" s="274">
        <v>0</v>
      </c>
      <c r="EP129" s="274">
        <v>200</v>
      </c>
      <c r="EQ129" s="275">
        <v>50</v>
      </c>
      <c r="ER129" s="275">
        <v>50</v>
      </c>
      <c r="ES129" s="275">
        <v>50</v>
      </c>
      <c r="ET129" s="826">
        <v>50</v>
      </c>
    </row>
    <row r="130" spans="1:150" ht="39" customHeight="1" x14ac:dyDescent="0.2">
      <c r="A130" s="277" t="s">
        <v>76</v>
      </c>
      <c r="B130" s="428" t="s">
        <v>77</v>
      </c>
      <c r="C130" s="429" t="s">
        <v>826</v>
      </c>
      <c r="D130" s="429"/>
      <c r="E130" s="8" t="s">
        <v>641</v>
      </c>
      <c r="F130" s="281" t="str">
        <f t="shared" si="26"/>
        <v>E2.P_D</v>
      </c>
      <c r="G130" s="452" t="s">
        <v>218</v>
      </c>
      <c r="H130" s="452" t="s">
        <v>338</v>
      </c>
      <c r="I130" s="456"/>
      <c r="J130" s="457" t="s">
        <v>61</v>
      </c>
      <c r="K130" s="373" t="str">
        <f t="shared" si="27"/>
        <v>E2.P_D.MR1</v>
      </c>
      <c r="L130" s="408" t="s">
        <v>309</v>
      </c>
      <c r="M130" s="409" t="s">
        <v>904</v>
      </c>
      <c r="N130" s="374">
        <v>0</v>
      </c>
      <c r="O130" s="288">
        <v>2</v>
      </c>
      <c r="P130" s="376" t="s">
        <v>99</v>
      </c>
      <c r="Q130" s="377" t="str">
        <f t="shared" si="28"/>
        <v>E2.P_D.MR1-MP03-1</v>
      </c>
      <c r="R130" s="420" t="s">
        <v>913</v>
      </c>
      <c r="S130" s="314" t="s">
        <v>914</v>
      </c>
      <c r="T130" s="293">
        <v>0</v>
      </c>
      <c r="U130" s="294">
        <v>1</v>
      </c>
      <c r="V130" s="293" t="s">
        <v>67</v>
      </c>
      <c r="W130" s="315">
        <v>0.2</v>
      </c>
      <c r="X130" s="330">
        <v>0.3</v>
      </c>
      <c r="Y130" s="315">
        <v>0.3</v>
      </c>
      <c r="Z130" s="316">
        <v>0.2</v>
      </c>
      <c r="AA130" s="298"/>
      <c r="AB130" s="299"/>
      <c r="AC130" s="299"/>
      <c r="AD130" s="299"/>
      <c r="AE130" s="299"/>
      <c r="AF130" s="299"/>
      <c r="AG130" s="299"/>
      <c r="AH130" s="299"/>
      <c r="AI130" s="299"/>
      <c r="AJ130" s="299"/>
      <c r="AK130" s="299"/>
      <c r="AL130" s="299"/>
      <c r="AM130" s="299"/>
      <c r="AN130" s="299"/>
      <c r="AO130" s="299"/>
      <c r="AP130" s="299"/>
      <c r="AQ130" s="299"/>
      <c r="AR130" s="299"/>
      <c r="AS130" s="299"/>
      <c r="AT130" s="299"/>
      <c r="AU130" s="299"/>
      <c r="AV130" s="299"/>
      <c r="AW130" s="299"/>
      <c r="AX130" s="299"/>
      <c r="AY130" s="299"/>
      <c r="AZ130" s="299"/>
      <c r="BA130" s="299"/>
      <c r="BB130" s="299"/>
      <c r="BC130" s="300"/>
      <c r="BD130" s="301"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8" t="s">
        <v>913</v>
      </c>
      <c r="EN130" s="274" t="s">
        <v>914</v>
      </c>
      <c r="EO130" s="274">
        <v>0</v>
      </c>
      <c r="EP130" s="274">
        <v>1</v>
      </c>
      <c r="EQ130" s="276">
        <v>0.2</v>
      </c>
      <c r="ER130" s="276">
        <v>0.3</v>
      </c>
      <c r="ES130" s="276">
        <v>0.3</v>
      </c>
      <c r="ET130" s="829">
        <v>0.2</v>
      </c>
    </row>
    <row r="131" spans="1:150" ht="33" customHeight="1" x14ac:dyDescent="0.2">
      <c r="A131" s="277" t="s">
        <v>76</v>
      </c>
      <c r="B131" s="428" t="s">
        <v>77</v>
      </c>
      <c r="C131" s="429" t="s">
        <v>826</v>
      </c>
      <c r="D131" s="429"/>
      <c r="E131" s="8" t="s">
        <v>641</v>
      </c>
      <c r="F131" s="281" t="str">
        <f t="shared" si="26"/>
        <v>E2.P_D</v>
      </c>
      <c r="G131" s="452" t="s">
        <v>218</v>
      </c>
      <c r="H131" s="452" t="s">
        <v>338</v>
      </c>
      <c r="I131" s="456"/>
      <c r="J131" s="457" t="s">
        <v>61</v>
      </c>
      <c r="K131" s="373" t="str">
        <f t="shared" si="27"/>
        <v>E2.P_D.MR1</v>
      </c>
      <c r="L131" s="408" t="s">
        <v>309</v>
      </c>
      <c r="M131" s="409" t="s">
        <v>904</v>
      </c>
      <c r="N131" s="374">
        <v>0</v>
      </c>
      <c r="O131" s="288">
        <v>2</v>
      </c>
      <c r="P131" s="376" t="s">
        <v>112</v>
      </c>
      <c r="Q131" s="377" t="str">
        <f t="shared" si="28"/>
        <v>E2.P_D.MR1-MP04-1</v>
      </c>
      <c r="R131" s="420" t="s">
        <v>917</v>
      </c>
      <c r="S131" s="314" t="s">
        <v>918</v>
      </c>
      <c r="T131" s="293">
        <v>0</v>
      </c>
      <c r="U131" s="294">
        <v>1</v>
      </c>
      <c r="V131" s="293" t="s">
        <v>67</v>
      </c>
      <c r="W131" s="315">
        <v>0.2</v>
      </c>
      <c r="X131" s="330">
        <v>0.3</v>
      </c>
      <c r="Y131" s="315">
        <v>0.3</v>
      </c>
      <c r="Z131" s="316">
        <v>0.2</v>
      </c>
      <c r="AA131" s="298"/>
      <c r="AB131" s="299"/>
      <c r="AC131" s="299"/>
      <c r="AD131" s="299"/>
      <c r="AE131" s="299"/>
      <c r="AF131" s="299"/>
      <c r="AG131" s="299"/>
      <c r="AH131" s="299"/>
      <c r="AI131" s="299"/>
      <c r="AJ131" s="299"/>
      <c r="AK131" s="299"/>
      <c r="AL131" s="299"/>
      <c r="AM131" s="299"/>
      <c r="AN131" s="299"/>
      <c r="AO131" s="299"/>
      <c r="AP131" s="299"/>
      <c r="AQ131" s="299"/>
      <c r="AR131" s="299"/>
      <c r="AS131" s="299"/>
      <c r="AT131" s="299"/>
      <c r="AU131" s="299"/>
      <c r="AV131" s="299"/>
      <c r="AW131" s="299"/>
      <c r="AX131" s="299"/>
      <c r="AY131" s="299"/>
      <c r="AZ131" s="299"/>
      <c r="BA131" s="299"/>
      <c r="BB131" s="299"/>
      <c r="BC131" s="300"/>
      <c r="BD131" s="301"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8" t="s">
        <v>917</v>
      </c>
      <c r="EN131" s="274" t="s">
        <v>918</v>
      </c>
      <c r="EO131" s="274">
        <v>0</v>
      </c>
      <c r="EP131" s="274">
        <v>1</v>
      </c>
      <c r="EQ131" s="276">
        <v>0.2</v>
      </c>
      <c r="ER131" s="276">
        <v>0.3</v>
      </c>
      <c r="ES131" s="276">
        <v>0.3</v>
      </c>
      <c r="ET131" s="829">
        <v>0.2</v>
      </c>
    </row>
    <row r="132" spans="1:150" ht="54" customHeight="1" thickBot="1" x14ac:dyDescent="0.25">
      <c r="A132" s="277" t="s">
        <v>76</v>
      </c>
      <c r="B132" s="428" t="s">
        <v>77</v>
      </c>
      <c r="C132" s="429" t="s">
        <v>826</v>
      </c>
      <c r="D132" s="429"/>
      <c r="E132" s="8" t="s">
        <v>641</v>
      </c>
      <c r="F132" s="281" t="str">
        <f t="shared" si="26"/>
        <v>E2.P_D</v>
      </c>
      <c r="G132" s="564" t="s">
        <v>218</v>
      </c>
      <c r="H132" s="564" t="s">
        <v>338</v>
      </c>
      <c r="I132" s="462"/>
      <c r="J132" s="463" t="s">
        <v>61</v>
      </c>
      <c r="K132" s="464" t="str">
        <f t="shared" si="27"/>
        <v>E2.P_D.MR1</v>
      </c>
      <c r="L132" s="424" t="s">
        <v>309</v>
      </c>
      <c r="M132" s="425" t="s">
        <v>904</v>
      </c>
      <c r="N132" s="388">
        <v>0</v>
      </c>
      <c r="O132" s="426">
        <v>2</v>
      </c>
      <c r="P132" s="565" t="s">
        <v>122</v>
      </c>
      <c r="Q132" s="391" t="str">
        <f t="shared" si="28"/>
        <v>E2.P_D.MR1-MP05-1</v>
      </c>
      <c r="R132" s="475" t="s">
        <v>921</v>
      </c>
      <c r="S132" s="337" t="s">
        <v>922</v>
      </c>
      <c r="T132" s="350">
        <v>0</v>
      </c>
      <c r="U132" s="351">
        <v>1</v>
      </c>
      <c r="V132" s="350" t="s">
        <v>67</v>
      </c>
      <c r="W132" s="402">
        <v>0.2</v>
      </c>
      <c r="X132" s="620">
        <v>0.3</v>
      </c>
      <c r="Y132" s="402">
        <v>0.3</v>
      </c>
      <c r="Z132" s="403">
        <v>0.2</v>
      </c>
      <c r="AA132" s="298"/>
      <c r="AB132" s="299"/>
      <c r="AC132" s="299"/>
      <c r="AD132" s="299"/>
      <c r="AE132" s="299"/>
      <c r="AF132" s="299"/>
      <c r="AG132" s="299"/>
      <c r="AH132" s="299"/>
      <c r="AI132" s="299"/>
      <c r="AJ132" s="299"/>
      <c r="AK132" s="299"/>
      <c r="AL132" s="299"/>
      <c r="AM132" s="299"/>
      <c r="AN132" s="299"/>
      <c r="AO132" s="299"/>
      <c r="AP132" s="299"/>
      <c r="AQ132" s="299"/>
      <c r="AR132" s="299"/>
      <c r="AS132" s="299"/>
      <c r="AT132" s="299"/>
      <c r="AU132" s="299"/>
      <c r="AV132" s="299"/>
      <c r="AW132" s="299"/>
      <c r="AX132" s="299"/>
      <c r="AY132" s="299"/>
      <c r="AZ132" s="299"/>
      <c r="BA132" s="299"/>
      <c r="BB132" s="299"/>
      <c r="BC132" s="300"/>
      <c r="BD132" s="301"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8" t="s">
        <v>921</v>
      </c>
      <c r="EN132" s="274" t="s">
        <v>922</v>
      </c>
      <c r="EO132" s="274">
        <v>0</v>
      </c>
      <c r="EP132" s="274">
        <v>1</v>
      </c>
      <c r="EQ132" s="276">
        <v>0.2</v>
      </c>
      <c r="ER132" s="276">
        <v>0.3</v>
      </c>
      <c r="ES132" s="276">
        <v>0.3</v>
      </c>
      <c r="ET132" s="829">
        <v>0.2</v>
      </c>
    </row>
    <row r="133" spans="1:150" ht="142.5" customHeight="1" x14ac:dyDescent="0.2">
      <c r="A133" s="277" t="s">
        <v>76</v>
      </c>
      <c r="B133" s="428" t="s">
        <v>77</v>
      </c>
      <c r="C133" s="429" t="s">
        <v>826</v>
      </c>
      <c r="D133" s="430" t="s">
        <v>925</v>
      </c>
      <c r="E133" s="3" t="s">
        <v>695</v>
      </c>
      <c r="F133" s="431" t="str">
        <f t="shared" si="26"/>
        <v>E2.P_E</v>
      </c>
      <c r="G133" s="432" t="s">
        <v>230</v>
      </c>
      <c r="H133" s="477" t="s">
        <v>349</v>
      </c>
      <c r="I133" s="453" t="s">
        <v>926</v>
      </c>
      <c r="J133" s="454" t="s">
        <v>61</v>
      </c>
      <c r="K133" s="455" t="str">
        <f t="shared" si="27"/>
        <v>E2.P_E.MR1</v>
      </c>
      <c r="L133" s="360" t="s">
        <v>320</v>
      </c>
      <c r="M133" s="361" t="s">
        <v>927</v>
      </c>
      <c r="N133" s="362">
        <v>665</v>
      </c>
      <c r="O133" s="247">
        <v>1100</v>
      </c>
      <c r="P133" s="364" t="s">
        <v>64</v>
      </c>
      <c r="Q133" s="365" t="str">
        <f t="shared" si="28"/>
        <v>E2.P_E.MR1-MP01-1</v>
      </c>
      <c r="R133" s="416" t="s">
        <v>928</v>
      </c>
      <c r="S133" s="367" t="s">
        <v>929</v>
      </c>
      <c r="T133" s="616">
        <v>0</v>
      </c>
      <c r="U133" s="617">
        <v>2</v>
      </c>
      <c r="V133" s="616" t="s">
        <v>67</v>
      </c>
      <c r="W133" s="632">
        <v>0.5</v>
      </c>
      <c r="X133" s="633">
        <v>0.5</v>
      </c>
      <c r="Y133" s="632">
        <v>0.5</v>
      </c>
      <c r="Z133" s="634">
        <v>0.5</v>
      </c>
      <c r="AA133" s="589">
        <f>97668698+300000000+2331302+180000000+190000000+60000000-461911148</f>
        <v>368088852</v>
      </c>
      <c r="AB133" s="590">
        <v>0</v>
      </c>
      <c r="AC133" s="590">
        <v>50000000</v>
      </c>
      <c r="AD133" s="590">
        <v>0</v>
      </c>
      <c r="AE133" s="590">
        <v>0</v>
      </c>
      <c r="AF133" s="590">
        <f>591+31910557</f>
        <v>31911148</v>
      </c>
      <c r="AG133" s="590">
        <f t="shared" ref="AG133" si="92">SUM(AA133:AF133)</f>
        <v>450000000</v>
      </c>
      <c r="AH133" s="590">
        <f t="shared" ref="AH133:AM133" si="93">AA133*1.035</f>
        <v>380971961.81999999</v>
      </c>
      <c r="AI133" s="590">
        <f t="shared" si="93"/>
        <v>0</v>
      </c>
      <c r="AJ133" s="590">
        <f t="shared" si="93"/>
        <v>51749999.999999993</v>
      </c>
      <c r="AK133" s="590">
        <f t="shared" si="93"/>
        <v>0</v>
      </c>
      <c r="AL133" s="590">
        <f t="shared" si="93"/>
        <v>0</v>
      </c>
      <c r="AM133" s="590">
        <f t="shared" si="93"/>
        <v>33028038.179999996</v>
      </c>
      <c r="AN133" s="590">
        <f t="shared" ref="AN133" si="94">SUM(AH133:AM133)</f>
        <v>465750000</v>
      </c>
      <c r="AO133" s="590">
        <f t="shared" ref="AO133:AT133" si="95">AH133*1.035</f>
        <v>394305980.48369998</v>
      </c>
      <c r="AP133" s="590">
        <f t="shared" si="95"/>
        <v>0</v>
      </c>
      <c r="AQ133" s="590">
        <f t="shared" si="95"/>
        <v>53561249.999999985</v>
      </c>
      <c r="AR133" s="590">
        <f t="shared" si="95"/>
        <v>0</v>
      </c>
      <c r="AS133" s="590">
        <f t="shared" si="95"/>
        <v>0</v>
      </c>
      <c r="AT133" s="590">
        <f t="shared" si="95"/>
        <v>34184019.516299993</v>
      </c>
      <c r="AU133" s="590">
        <f t="shared" ref="AU133" si="96">SUM(AO133:AT133)</f>
        <v>482051250</v>
      </c>
      <c r="AV133" s="590">
        <f t="shared" ref="AV133:BA133" si="97">AO133*1.035</f>
        <v>408106689.80062944</v>
      </c>
      <c r="AW133" s="590">
        <f t="shared" si="97"/>
        <v>0</v>
      </c>
      <c r="AX133" s="590">
        <f t="shared" si="97"/>
        <v>55435893.749999978</v>
      </c>
      <c r="AY133" s="590">
        <f t="shared" si="97"/>
        <v>0</v>
      </c>
      <c r="AZ133" s="590">
        <f t="shared" si="97"/>
        <v>0</v>
      </c>
      <c r="BA133" s="590">
        <f t="shared" si="97"/>
        <v>35380460.199370489</v>
      </c>
      <c r="BB133" s="590">
        <f t="shared" ref="BB133" si="98">SUM(AV133:BA133)</f>
        <v>498923043.74999994</v>
      </c>
      <c r="BC133" s="591">
        <f t="shared" ref="BC133" si="99">+AG133+AN133+AU133+BB133</f>
        <v>1896724293.75</v>
      </c>
      <c r="BD133" s="301"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8" t="s">
        <v>928</v>
      </c>
      <c r="EN133" s="274" t="s">
        <v>929</v>
      </c>
      <c r="EO133" s="274">
        <v>0</v>
      </c>
      <c r="EP133" s="274">
        <v>2</v>
      </c>
      <c r="EQ133" s="276">
        <v>0.5</v>
      </c>
      <c r="ER133" s="276">
        <v>0.5</v>
      </c>
      <c r="ES133" s="276">
        <v>0.5</v>
      </c>
      <c r="ET133" s="829">
        <v>0.5</v>
      </c>
    </row>
    <row r="134" spans="1:150" ht="54" customHeight="1" x14ac:dyDescent="0.2">
      <c r="A134" s="277" t="s">
        <v>76</v>
      </c>
      <c r="B134" s="428" t="s">
        <v>77</v>
      </c>
      <c r="C134" s="429" t="s">
        <v>826</v>
      </c>
      <c r="D134" s="429"/>
      <c r="E134" s="8" t="s">
        <v>695</v>
      </c>
      <c r="F134" s="281" t="str">
        <f t="shared" si="26"/>
        <v>E2.P_E</v>
      </c>
      <c r="G134" s="569" t="s">
        <v>230</v>
      </c>
      <c r="H134" s="569" t="s">
        <v>349</v>
      </c>
      <c r="I134" s="456"/>
      <c r="J134" s="457" t="s">
        <v>61</v>
      </c>
      <c r="K134" s="373" t="str">
        <f t="shared" si="27"/>
        <v>E2.P_E.MR1</v>
      </c>
      <c r="L134" s="408" t="s">
        <v>320</v>
      </c>
      <c r="M134" s="409" t="s">
        <v>927</v>
      </c>
      <c r="N134" s="374">
        <v>665</v>
      </c>
      <c r="O134" s="288">
        <v>1100</v>
      </c>
      <c r="P134" s="376" t="s">
        <v>87</v>
      </c>
      <c r="Q134" s="377" t="str">
        <f t="shared" si="28"/>
        <v>E2.P_E.MR1-MP02-1</v>
      </c>
      <c r="R134" s="420" t="s">
        <v>932</v>
      </c>
      <c r="S134" s="314" t="s">
        <v>933</v>
      </c>
      <c r="T134" s="293">
        <v>300</v>
      </c>
      <c r="U134" s="294">
        <v>500</v>
      </c>
      <c r="V134" s="293" t="s">
        <v>67</v>
      </c>
      <c r="W134" s="295">
        <v>125</v>
      </c>
      <c r="X134" s="296">
        <v>125</v>
      </c>
      <c r="Y134" s="295">
        <v>125</v>
      </c>
      <c r="Z134" s="297">
        <v>125</v>
      </c>
      <c r="AA134" s="298"/>
      <c r="AB134" s="299"/>
      <c r="AC134" s="299"/>
      <c r="AD134" s="299"/>
      <c r="AE134" s="299"/>
      <c r="AF134" s="299"/>
      <c r="AG134" s="299"/>
      <c r="AH134" s="299"/>
      <c r="AI134" s="299"/>
      <c r="AJ134" s="299"/>
      <c r="AK134" s="299"/>
      <c r="AL134" s="299"/>
      <c r="AM134" s="299"/>
      <c r="AN134" s="299"/>
      <c r="AO134" s="299"/>
      <c r="AP134" s="299"/>
      <c r="AQ134" s="299"/>
      <c r="AR134" s="299"/>
      <c r="AS134" s="299"/>
      <c r="AT134" s="299"/>
      <c r="AU134" s="299"/>
      <c r="AV134" s="299"/>
      <c r="AW134" s="299"/>
      <c r="AX134" s="299"/>
      <c r="AY134" s="299"/>
      <c r="AZ134" s="299"/>
      <c r="BA134" s="299"/>
      <c r="BB134" s="299"/>
      <c r="BC134" s="300"/>
      <c r="BD134" s="301"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8" t="s">
        <v>932</v>
      </c>
      <c r="EN134" s="274" t="s">
        <v>933</v>
      </c>
      <c r="EO134" s="274">
        <v>300</v>
      </c>
      <c r="EP134" s="274">
        <v>500</v>
      </c>
      <c r="EQ134" s="275">
        <v>125</v>
      </c>
      <c r="ER134" s="275">
        <v>125</v>
      </c>
      <c r="ES134" s="275">
        <v>125</v>
      </c>
      <c r="ET134" s="826">
        <v>125</v>
      </c>
    </row>
    <row r="135" spans="1:150" ht="34.5" customHeight="1" x14ac:dyDescent="0.2">
      <c r="A135" s="277" t="s">
        <v>76</v>
      </c>
      <c r="B135" s="428" t="s">
        <v>77</v>
      </c>
      <c r="C135" s="429" t="s">
        <v>826</v>
      </c>
      <c r="D135" s="429"/>
      <c r="E135" s="8" t="s">
        <v>695</v>
      </c>
      <c r="F135" s="281" t="str">
        <f t="shared" si="26"/>
        <v>E2.P_E</v>
      </c>
      <c r="G135" s="569" t="s">
        <v>230</v>
      </c>
      <c r="H135" s="569" t="s">
        <v>349</v>
      </c>
      <c r="I135" s="456"/>
      <c r="J135" s="457" t="s">
        <v>61</v>
      </c>
      <c r="K135" s="373" t="str">
        <f t="shared" si="27"/>
        <v>E2.P_E.MR1</v>
      </c>
      <c r="L135" s="408" t="s">
        <v>320</v>
      </c>
      <c r="M135" s="409" t="s">
        <v>927</v>
      </c>
      <c r="N135" s="374">
        <v>665</v>
      </c>
      <c r="O135" s="288">
        <v>1100</v>
      </c>
      <c r="P135" s="376" t="s">
        <v>99</v>
      </c>
      <c r="Q135" s="377" t="str">
        <f t="shared" si="28"/>
        <v>E2.P_E.MR1-MP03-1</v>
      </c>
      <c r="R135" s="420" t="s">
        <v>936</v>
      </c>
      <c r="S135" s="314" t="s">
        <v>937</v>
      </c>
      <c r="T135" s="293">
        <v>0</v>
      </c>
      <c r="U135" s="381">
        <v>1</v>
      </c>
      <c r="V135" s="380" t="s">
        <v>67</v>
      </c>
      <c r="W135" s="321">
        <v>0.25</v>
      </c>
      <c r="X135" s="322">
        <v>0.25</v>
      </c>
      <c r="Y135" s="321">
        <v>0.25</v>
      </c>
      <c r="Z135" s="323">
        <v>0.25</v>
      </c>
      <c r="AA135" s="382"/>
      <c r="AB135" s="383"/>
      <c r="AC135" s="383"/>
      <c r="AD135" s="383"/>
      <c r="AE135" s="383"/>
      <c r="AF135" s="383"/>
      <c r="AG135" s="383"/>
      <c r="AH135" s="383"/>
      <c r="AI135" s="383"/>
      <c r="AJ135" s="383"/>
      <c r="AK135" s="383"/>
      <c r="AL135" s="383"/>
      <c r="AM135" s="383"/>
      <c r="AN135" s="383"/>
      <c r="AO135" s="383"/>
      <c r="AP135" s="383"/>
      <c r="AQ135" s="383"/>
      <c r="AR135" s="383"/>
      <c r="AS135" s="383"/>
      <c r="AT135" s="383"/>
      <c r="AU135" s="383"/>
      <c r="AV135" s="383"/>
      <c r="AW135" s="383"/>
      <c r="AX135" s="383"/>
      <c r="AY135" s="383"/>
      <c r="AZ135" s="383"/>
      <c r="BA135" s="383"/>
      <c r="BB135" s="383"/>
      <c r="BC135" s="384"/>
      <c r="BD135" s="301"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8" t="s">
        <v>936</v>
      </c>
      <c r="EN135" s="274" t="s">
        <v>937</v>
      </c>
      <c r="EO135" s="274">
        <v>0</v>
      </c>
      <c r="EP135" s="385">
        <v>1</v>
      </c>
      <c r="EQ135" s="329">
        <v>0.25</v>
      </c>
      <c r="ER135" s="816">
        <v>0.05</v>
      </c>
      <c r="ES135" s="816">
        <v>0.35</v>
      </c>
      <c r="ET135" s="827">
        <v>0.35</v>
      </c>
    </row>
    <row r="136" spans="1:150" ht="34.5" customHeight="1" x14ac:dyDescent="0.2">
      <c r="A136" s="277" t="s">
        <v>76</v>
      </c>
      <c r="B136" s="428" t="s">
        <v>77</v>
      </c>
      <c r="C136" s="429" t="s">
        <v>826</v>
      </c>
      <c r="D136" s="429"/>
      <c r="E136" s="8" t="s">
        <v>695</v>
      </c>
      <c r="F136" s="281" t="str">
        <f t="shared" si="26"/>
        <v>E2.P_E</v>
      </c>
      <c r="G136" s="569" t="s">
        <v>230</v>
      </c>
      <c r="H136" s="569" t="s">
        <v>349</v>
      </c>
      <c r="I136" s="456"/>
      <c r="J136" s="457" t="s">
        <v>61</v>
      </c>
      <c r="K136" s="373" t="str">
        <f t="shared" si="27"/>
        <v>E2.P_E.MR1</v>
      </c>
      <c r="L136" s="408" t="s">
        <v>320</v>
      </c>
      <c r="M136" s="409" t="s">
        <v>927</v>
      </c>
      <c r="N136" s="374">
        <v>665</v>
      </c>
      <c r="O136" s="288">
        <v>1100</v>
      </c>
      <c r="P136" s="376" t="s">
        <v>112</v>
      </c>
      <c r="Q136" s="377" t="str">
        <f t="shared" si="28"/>
        <v>E2.P_E.MR1-MP04-1</v>
      </c>
      <c r="R136" s="420" t="s">
        <v>940</v>
      </c>
      <c r="S136" s="314" t="s">
        <v>941</v>
      </c>
      <c r="T136" s="293">
        <v>0</v>
      </c>
      <c r="U136" s="294">
        <v>8</v>
      </c>
      <c r="V136" s="293" t="s">
        <v>67</v>
      </c>
      <c r="W136" s="295">
        <v>2</v>
      </c>
      <c r="X136" s="296">
        <v>2</v>
      </c>
      <c r="Y136" s="295">
        <v>2</v>
      </c>
      <c r="Z136" s="297">
        <v>2</v>
      </c>
      <c r="AA136" s="298"/>
      <c r="AB136" s="299"/>
      <c r="AC136" s="299"/>
      <c r="AD136" s="299"/>
      <c r="AE136" s="299"/>
      <c r="AF136" s="299"/>
      <c r="AG136" s="299"/>
      <c r="AH136" s="299"/>
      <c r="AI136" s="299"/>
      <c r="AJ136" s="299"/>
      <c r="AK136" s="299"/>
      <c r="AL136" s="299"/>
      <c r="AM136" s="299"/>
      <c r="AN136" s="299"/>
      <c r="AO136" s="299"/>
      <c r="AP136" s="299"/>
      <c r="AQ136" s="299"/>
      <c r="AR136" s="299"/>
      <c r="AS136" s="299"/>
      <c r="AT136" s="299"/>
      <c r="AU136" s="299"/>
      <c r="AV136" s="299"/>
      <c r="AW136" s="299"/>
      <c r="AX136" s="299"/>
      <c r="AY136" s="299"/>
      <c r="AZ136" s="299"/>
      <c r="BA136" s="299"/>
      <c r="BB136" s="299"/>
      <c r="BC136" s="300"/>
      <c r="BD136" s="301"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8" t="s">
        <v>940</v>
      </c>
      <c r="EN136" s="274" t="s">
        <v>941</v>
      </c>
      <c r="EO136" s="274">
        <v>0</v>
      </c>
      <c r="EP136" s="274">
        <v>8</v>
      </c>
      <c r="EQ136" s="275">
        <v>2</v>
      </c>
      <c r="ER136" s="275">
        <v>2</v>
      </c>
      <c r="ES136" s="275">
        <v>2</v>
      </c>
      <c r="ET136" s="826">
        <v>2</v>
      </c>
    </row>
    <row r="137" spans="1:150" ht="46.5" customHeight="1" x14ac:dyDescent="0.2">
      <c r="A137" s="277" t="s">
        <v>76</v>
      </c>
      <c r="B137" s="428" t="s">
        <v>77</v>
      </c>
      <c r="C137" s="429" t="s">
        <v>826</v>
      </c>
      <c r="D137" s="429"/>
      <c r="E137" s="8" t="s">
        <v>695</v>
      </c>
      <c r="F137" s="281" t="str">
        <f t="shared" si="26"/>
        <v>E2.P_E</v>
      </c>
      <c r="G137" s="569" t="s">
        <v>230</v>
      </c>
      <c r="H137" s="569" t="s">
        <v>349</v>
      </c>
      <c r="I137" s="456"/>
      <c r="J137" s="457" t="s">
        <v>61</v>
      </c>
      <c r="K137" s="373" t="str">
        <f t="shared" si="27"/>
        <v>E2.P_E.MR1</v>
      </c>
      <c r="L137" s="408" t="s">
        <v>320</v>
      </c>
      <c r="M137" s="409" t="s">
        <v>927</v>
      </c>
      <c r="N137" s="374">
        <v>665</v>
      </c>
      <c r="O137" s="288">
        <v>1100</v>
      </c>
      <c r="P137" s="376" t="s">
        <v>122</v>
      </c>
      <c r="Q137" s="377" t="str">
        <f t="shared" si="28"/>
        <v>E2.P_E.MR1-MP05-1</v>
      </c>
      <c r="R137" s="420" t="s">
        <v>944</v>
      </c>
      <c r="S137" s="314" t="s">
        <v>945</v>
      </c>
      <c r="T137" s="293">
        <v>6</v>
      </c>
      <c r="U137" s="294">
        <v>194</v>
      </c>
      <c r="V137" s="293" t="s">
        <v>67</v>
      </c>
      <c r="W137" s="295">
        <v>48</v>
      </c>
      <c r="X137" s="296">
        <v>48</v>
      </c>
      <c r="Y137" s="295">
        <v>48</v>
      </c>
      <c r="Z137" s="297">
        <v>50</v>
      </c>
      <c r="AA137" s="298"/>
      <c r="AB137" s="299"/>
      <c r="AC137" s="299"/>
      <c r="AD137" s="299"/>
      <c r="AE137" s="299"/>
      <c r="AF137" s="299"/>
      <c r="AG137" s="299"/>
      <c r="AH137" s="299"/>
      <c r="AI137" s="299"/>
      <c r="AJ137" s="299"/>
      <c r="AK137" s="299"/>
      <c r="AL137" s="299"/>
      <c r="AM137" s="299"/>
      <c r="AN137" s="299"/>
      <c r="AO137" s="299"/>
      <c r="AP137" s="299"/>
      <c r="AQ137" s="299"/>
      <c r="AR137" s="299"/>
      <c r="AS137" s="299"/>
      <c r="AT137" s="299"/>
      <c r="AU137" s="299"/>
      <c r="AV137" s="299"/>
      <c r="AW137" s="299"/>
      <c r="AX137" s="299"/>
      <c r="AY137" s="299"/>
      <c r="AZ137" s="299"/>
      <c r="BA137" s="299"/>
      <c r="BB137" s="299"/>
      <c r="BC137" s="300"/>
      <c r="BD137" s="301"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8" t="s">
        <v>944</v>
      </c>
      <c r="EN137" s="274" t="s">
        <v>945</v>
      </c>
      <c r="EO137" s="274">
        <v>6</v>
      </c>
      <c r="EP137" s="274">
        <v>194</v>
      </c>
      <c r="EQ137" s="275">
        <v>48</v>
      </c>
      <c r="ER137" s="275">
        <v>48</v>
      </c>
      <c r="ES137" s="275">
        <v>48</v>
      </c>
      <c r="ET137" s="826">
        <v>50</v>
      </c>
    </row>
    <row r="138" spans="1:150" ht="45.75" customHeight="1" thickBot="1" x14ac:dyDescent="0.25">
      <c r="A138" s="277" t="s">
        <v>76</v>
      </c>
      <c r="B138" s="428" t="s">
        <v>77</v>
      </c>
      <c r="C138" s="429" t="s">
        <v>826</v>
      </c>
      <c r="D138" s="429"/>
      <c r="E138" s="8" t="s">
        <v>695</v>
      </c>
      <c r="F138" s="281" t="str">
        <f t="shared" ref="F138:F201" si="100">+CONCATENATE(A138,E138)</f>
        <v>E2.P_E</v>
      </c>
      <c r="G138" s="570" t="s">
        <v>230</v>
      </c>
      <c r="H138" s="570" t="s">
        <v>349</v>
      </c>
      <c r="I138" s="462"/>
      <c r="J138" s="463" t="s">
        <v>61</v>
      </c>
      <c r="K138" s="464" t="str">
        <f t="shared" ref="K138:K201" si="101">+CONCATENATE(F138,".",J138)</f>
        <v>E2.P_E.MR1</v>
      </c>
      <c r="L138" s="424" t="s">
        <v>320</v>
      </c>
      <c r="M138" s="425" t="s">
        <v>927</v>
      </c>
      <c r="N138" s="388">
        <v>665</v>
      </c>
      <c r="O138" s="426">
        <v>1100</v>
      </c>
      <c r="P138" s="390" t="s">
        <v>132</v>
      </c>
      <c r="Q138" s="391" t="str">
        <f t="shared" ref="Q138:Q201" si="102">+CONCATENATE(K138,"-",P138)</f>
        <v>E2.P_E.MR1-MP06-1</v>
      </c>
      <c r="R138" s="475" t="s">
        <v>948</v>
      </c>
      <c r="S138" s="337" t="s">
        <v>949</v>
      </c>
      <c r="T138" s="338">
        <v>0</v>
      </c>
      <c r="U138" s="619">
        <v>1</v>
      </c>
      <c r="V138" s="618" t="s">
        <v>67</v>
      </c>
      <c r="W138" s="503">
        <v>0.25</v>
      </c>
      <c r="X138" s="502">
        <v>0.25</v>
      </c>
      <c r="Y138" s="503">
        <v>0.25</v>
      </c>
      <c r="Z138" s="635">
        <v>0.25</v>
      </c>
      <c r="AA138" s="382"/>
      <c r="AB138" s="383"/>
      <c r="AC138" s="383"/>
      <c r="AD138" s="383"/>
      <c r="AE138" s="383"/>
      <c r="AF138" s="383"/>
      <c r="AG138" s="383"/>
      <c r="AH138" s="383"/>
      <c r="AI138" s="383"/>
      <c r="AJ138" s="383"/>
      <c r="AK138" s="383"/>
      <c r="AL138" s="383"/>
      <c r="AM138" s="383"/>
      <c r="AN138" s="383"/>
      <c r="AO138" s="383"/>
      <c r="AP138" s="383"/>
      <c r="AQ138" s="383"/>
      <c r="AR138" s="383"/>
      <c r="AS138" s="383"/>
      <c r="AT138" s="383"/>
      <c r="AU138" s="383"/>
      <c r="AV138" s="383"/>
      <c r="AW138" s="383"/>
      <c r="AX138" s="383"/>
      <c r="AY138" s="383"/>
      <c r="AZ138" s="383"/>
      <c r="BA138" s="383"/>
      <c r="BB138" s="383"/>
      <c r="BC138" s="384"/>
      <c r="BD138" s="301"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8" t="s">
        <v>948</v>
      </c>
      <c r="EN138" s="274" t="s">
        <v>949</v>
      </c>
      <c r="EO138" s="274">
        <v>0</v>
      </c>
      <c r="EP138" s="385">
        <v>1</v>
      </c>
      <c r="EQ138" s="329">
        <v>0.25</v>
      </c>
      <c r="ER138" s="329">
        <v>0.25</v>
      </c>
      <c r="ES138" s="329">
        <v>0.25</v>
      </c>
      <c r="ET138" s="825">
        <v>0.25</v>
      </c>
    </row>
    <row r="139" spans="1:150" ht="86.25" customHeight="1" x14ac:dyDescent="0.2">
      <c r="A139" s="277" t="s">
        <v>76</v>
      </c>
      <c r="B139" s="428" t="s">
        <v>77</v>
      </c>
      <c r="C139" s="429" t="s">
        <v>826</v>
      </c>
      <c r="D139" s="430" t="s">
        <v>827</v>
      </c>
      <c r="E139" s="22" t="s">
        <v>718</v>
      </c>
      <c r="F139" s="3" t="str">
        <f t="shared" si="100"/>
        <v>E2.P_F</v>
      </c>
      <c r="G139" s="478" t="s">
        <v>239</v>
      </c>
      <c r="H139" s="477" t="s">
        <v>360</v>
      </c>
      <c r="I139" s="453" t="s">
        <v>952</v>
      </c>
      <c r="J139" s="454" t="s">
        <v>61</v>
      </c>
      <c r="K139" s="415" t="str">
        <f t="shared" si="101"/>
        <v>E2.P_F.MR1</v>
      </c>
      <c r="L139" s="360" t="s">
        <v>334</v>
      </c>
      <c r="M139" s="361" t="s">
        <v>953</v>
      </c>
      <c r="N139" s="362">
        <v>25</v>
      </c>
      <c r="O139" s="247">
        <v>90</v>
      </c>
      <c r="P139" s="364" t="s">
        <v>64</v>
      </c>
      <c r="Q139" s="365" t="str">
        <f t="shared" si="102"/>
        <v>E2.P_F.MR1-MP01-1</v>
      </c>
      <c r="R139" s="416" t="s">
        <v>954</v>
      </c>
      <c r="S139" s="367" t="s">
        <v>955</v>
      </c>
      <c r="T139" s="368">
        <v>0</v>
      </c>
      <c r="U139" s="369">
        <v>1</v>
      </c>
      <c r="V139" s="368" t="s">
        <v>67</v>
      </c>
      <c r="W139" s="255">
        <v>0</v>
      </c>
      <c r="X139" s="256">
        <v>0.5</v>
      </c>
      <c r="Y139" s="561">
        <v>0.25</v>
      </c>
      <c r="Z139" s="563">
        <v>0.25</v>
      </c>
      <c r="AA139" s="589">
        <v>100000000</v>
      </c>
      <c r="AB139" s="590"/>
      <c r="AC139" s="590">
        <v>0</v>
      </c>
      <c r="AD139" s="590"/>
      <c r="AE139" s="590"/>
      <c r="AF139" s="590"/>
      <c r="AG139" s="590">
        <f t="shared" ref="AG139" si="103">SUM(AA139:AF139)</f>
        <v>100000000</v>
      </c>
      <c r="AH139" s="590">
        <f t="shared" ref="AH139:AM139" si="104">AA139*1.035</f>
        <v>103499999.99999999</v>
      </c>
      <c r="AI139" s="590">
        <f t="shared" si="104"/>
        <v>0</v>
      </c>
      <c r="AJ139" s="590">
        <f t="shared" si="104"/>
        <v>0</v>
      </c>
      <c r="AK139" s="590">
        <f t="shared" si="104"/>
        <v>0</v>
      </c>
      <c r="AL139" s="590">
        <f t="shared" si="104"/>
        <v>0</v>
      </c>
      <c r="AM139" s="590">
        <f t="shared" si="104"/>
        <v>0</v>
      </c>
      <c r="AN139" s="590">
        <f t="shared" ref="AN139" si="105">SUM(AH139:AM139)</f>
        <v>103499999.99999999</v>
      </c>
      <c r="AO139" s="590">
        <f t="shared" ref="AO139:AT139" si="106">AH139*1.035</f>
        <v>107122499.99999997</v>
      </c>
      <c r="AP139" s="590">
        <f t="shared" si="106"/>
        <v>0</v>
      </c>
      <c r="AQ139" s="590">
        <f t="shared" si="106"/>
        <v>0</v>
      </c>
      <c r="AR139" s="590">
        <f t="shared" si="106"/>
        <v>0</v>
      </c>
      <c r="AS139" s="590">
        <f t="shared" si="106"/>
        <v>0</v>
      </c>
      <c r="AT139" s="590">
        <f t="shared" si="106"/>
        <v>0</v>
      </c>
      <c r="AU139" s="590">
        <f t="shared" ref="AU139" si="107">SUM(AO139:AT139)</f>
        <v>107122499.99999997</v>
      </c>
      <c r="AV139" s="590">
        <f t="shared" ref="AV139:BA139" si="108">AO139*1.035</f>
        <v>110871787.49999996</v>
      </c>
      <c r="AW139" s="590">
        <f t="shared" si="108"/>
        <v>0</v>
      </c>
      <c r="AX139" s="590">
        <f t="shared" si="108"/>
        <v>0</v>
      </c>
      <c r="AY139" s="590">
        <f t="shared" si="108"/>
        <v>0</v>
      </c>
      <c r="AZ139" s="590">
        <f t="shared" si="108"/>
        <v>0</v>
      </c>
      <c r="BA139" s="590">
        <f t="shared" si="108"/>
        <v>0</v>
      </c>
      <c r="BB139" s="590">
        <f t="shared" ref="BB139" si="109">SUM(AV139:BA139)</f>
        <v>110871787.49999996</v>
      </c>
      <c r="BC139" s="591">
        <f t="shared" ref="BC139" si="110">+AG139+AN139+AU139+BB139</f>
        <v>421494287.49999994</v>
      </c>
      <c r="BD139" s="301"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8" t="s">
        <v>954</v>
      </c>
      <c r="EN139" s="274" t="s">
        <v>955</v>
      </c>
      <c r="EO139" s="274">
        <v>0</v>
      </c>
      <c r="EP139" s="274">
        <v>1</v>
      </c>
      <c r="EQ139" s="275">
        <v>0</v>
      </c>
      <c r="ER139" s="815">
        <v>0</v>
      </c>
      <c r="ES139" s="816">
        <v>0.5</v>
      </c>
      <c r="ET139" s="827">
        <v>0.5</v>
      </c>
    </row>
    <row r="140" spans="1:150" ht="42" customHeight="1" x14ac:dyDescent="0.2">
      <c r="A140" s="277" t="s">
        <v>76</v>
      </c>
      <c r="B140" s="428" t="s">
        <v>77</v>
      </c>
      <c r="C140" s="429" t="s">
        <v>826</v>
      </c>
      <c r="D140" s="636"/>
      <c r="E140" s="23" t="s">
        <v>718</v>
      </c>
      <c r="F140" s="23" t="str">
        <f t="shared" si="100"/>
        <v>E2.P_F</v>
      </c>
      <c r="G140" s="409" t="s">
        <v>239</v>
      </c>
      <c r="H140" s="452" t="s">
        <v>360</v>
      </c>
      <c r="I140" s="456"/>
      <c r="J140" s="457" t="s">
        <v>61</v>
      </c>
      <c r="K140" s="373" t="str">
        <f t="shared" si="101"/>
        <v>E2.P_F.MR1</v>
      </c>
      <c r="L140" s="408" t="s">
        <v>334</v>
      </c>
      <c r="M140" s="409" t="s">
        <v>953</v>
      </c>
      <c r="N140" s="374">
        <v>25</v>
      </c>
      <c r="O140" s="288">
        <v>90</v>
      </c>
      <c r="P140" s="376" t="s">
        <v>87</v>
      </c>
      <c r="Q140" s="377" t="str">
        <f t="shared" si="102"/>
        <v>E2.P_F.MR1-MP02-1</v>
      </c>
      <c r="R140" s="420" t="s">
        <v>958</v>
      </c>
      <c r="S140" s="314" t="s">
        <v>959</v>
      </c>
      <c r="T140" s="293">
        <v>0</v>
      </c>
      <c r="U140" s="294">
        <v>1</v>
      </c>
      <c r="V140" s="293" t="s">
        <v>67</v>
      </c>
      <c r="W140" s="321">
        <v>0.25</v>
      </c>
      <c r="X140" s="322">
        <v>0.25</v>
      </c>
      <c r="Y140" s="321">
        <v>0.25</v>
      </c>
      <c r="Z140" s="323">
        <v>0.25</v>
      </c>
      <c r="AA140" s="298"/>
      <c r="AB140" s="299"/>
      <c r="AC140" s="299"/>
      <c r="AD140" s="299"/>
      <c r="AE140" s="299"/>
      <c r="AF140" s="299"/>
      <c r="AG140" s="299"/>
      <c r="AH140" s="299"/>
      <c r="AI140" s="299"/>
      <c r="AJ140" s="299"/>
      <c r="AK140" s="299"/>
      <c r="AL140" s="299"/>
      <c r="AM140" s="299"/>
      <c r="AN140" s="299"/>
      <c r="AO140" s="299"/>
      <c r="AP140" s="299"/>
      <c r="AQ140" s="299"/>
      <c r="AR140" s="299"/>
      <c r="AS140" s="299"/>
      <c r="AT140" s="299"/>
      <c r="AU140" s="299"/>
      <c r="AV140" s="299"/>
      <c r="AW140" s="299"/>
      <c r="AX140" s="299"/>
      <c r="AY140" s="299"/>
      <c r="AZ140" s="299"/>
      <c r="BA140" s="299"/>
      <c r="BB140" s="299"/>
      <c r="BC140" s="300"/>
      <c r="BD140" s="301"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8" t="s">
        <v>958</v>
      </c>
      <c r="EN140" s="274" t="s">
        <v>959</v>
      </c>
      <c r="EO140" s="274">
        <v>0</v>
      </c>
      <c r="EP140" s="274">
        <v>1</v>
      </c>
      <c r="EQ140" s="329">
        <v>0.25</v>
      </c>
      <c r="ER140" s="329">
        <v>0.25</v>
      </c>
      <c r="ES140" s="329">
        <v>0.25</v>
      </c>
      <c r="ET140" s="825">
        <v>0.25</v>
      </c>
    </row>
    <row r="141" spans="1:150" ht="36.75" customHeight="1" x14ac:dyDescent="0.2">
      <c r="A141" s="277" t="s">
        <v>76</v>
      </c>
      <c r="B141" s="428" t="s">
        <v>77</v>
      </c>
      <c r="C141" s="429" t="s">
        <v>826</v>
      </c>
      <c r="D141" s="636"/>
      <c r="E141" s="23" t="s">
        <v>718</v>
      </c>
      <c r="F141" s="23" t="str">
        <f t="shared" si="100"/>
        <v>E2.P_F</v>
      </c>
      <c r="G141" s="409" t="s">
        <v>239</v>
      </c>
      <c r="H141" s="452" t="s">
        <v>360</v>
      </c>
      <c r="I141" s="456"/>
      <c r="J141" s="457" t="s">
        <v>61</v>
      </c>
      <c r="K141" s="373" t="str">
        <f t="shared" si="101"/>
        <v>E2.P_F.MR1</v>
      </c>
      <c r="L141" s="408" t="s">
        <v>334</v>
      </c>
      <c r="M141" s="409" t="s">
        <v>953</v>
      </c>
      <c r="N141" s="374">
        <v>25</v>
      </c>
      <c r="O141" s="288">
        <v>90</v>
      </c>
      <c r="P141" s="376" t="s">
        <v>99</v>
      </c>
      <c r="Q141" s="377" t="str">
        <f t="shared" si="102"/>
        <v>E2.P_F.MR1-MP03-1</v>
      </c>
      <c r="R141" s="420" t="s">
        <v>962</v>
      </c>
      <c r="S141" s="314" t="s">
        <v>963</v>
      </c>
      <c r="T141" s="293">
        <v>1</v>
      </c>
      <c r="U141" s="294">
        <v>2</v>
      </c>
      <c r="V141" s="293" t="s">
        <v>67</v>
      </c>
      <c r="W141" s="315">
        <v>0.5</v>
      </c>
      <c r="X141" s="330">
        <v>0.5</v>
      </c>
      <c r="Y141" s="315">
        <v>0.5</v>
      </c>
      <c r="Z141" s="316">
        <v>0.5</v>
      </c>
      <c r="AA141" s="298"/>
      <c r="AB141" s="299"/>
      <c r="AC141" s="299"/>
      <c r="AD141" s="299"/>
      <c r="AE141" s="299"/>
      <c r="AF141" s="299"/>
      <c r="AG141" s="299"/>
      <c r="AH141" s="299"/>
      <c r="AI141" s="299"/>
      <c r="AJ141" s="299"/>
      <c r="AK141" s="299"/>
      <c r="AL141" s="299"/>
      <c r="AM141" s="299"/>
      <c r="AN141" s="299"/>
      <c r="AO141" s="299"/>
      <c r="AP141" s="299"/>
      <c r="AQ141" s="299"/>
      <c r="AR141" s="299"/>
      <c r="AS141" s="299"/>
      <c r="AT141" s="299"/>
      <c r="AU141" s="299"/>
      <c r="AV141" s="299"/>
      <c r="AW141" s="299"/>
      <c r="AX141" s="299"/>
      <c r="AY141" s="299"/>
      <c r="AZ141" s="299"/>
      <c r="BA141" s="299"/>
      <c r="BB141" s="299"/>
      <c r="BC141" s="300"/>
      <c r="BD141" s="301"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8" t="s">
        <v>962</v>
      </c>
      <c r="EN141" s="274" t="s">
        <v>963</v>
      </c>
      <c r="EO141" s="274">
        <v>1</v>
      </c>
      <c r="EP141" s="274">
        <v>2</v>
      </c>
      <c r="EQ141" s="276">
        <v>0.5</v>
      </c>
      <c r="ER141" s="276">
        <v>0.5</v>
      </c>
      <c r="ES141" s="276">
        <v>0.5</v>
      </c>
      <c r="ET141" s="829">
        <v>0.5</v>
      </c>
    </row>
    <row r="142" spans="1:150" ht="36" customHeight="1" x14ac:dyDescent="0.2">
      <c r="A142" s="277" t="s">
        <v>76</v>
      </c>
      <c r="B142" s="428" t="s">
        <v>77</v>
      </c>
      <c r="C142" s="429" t="s">
        <v>826</v>
      </c>
      <c r="D142" s="636"/>
      <c r="E142" s="23" t="s">
        <v>718</v>
      </c>
      <c r="F142" s="23" t="str">
        <f t="shared" si="100"/>
        <v>E2.P_F</v>
      </c>
      <c r="G142" s="409" t="s">
        <v>239</v>
      </c>
      <c r="H142" s="452" t="s">
        <v>360</v>
      </c>
      <c r="I142" s="456"/>
      <c r="J142" s="457" t="s">
        <v>61</v>
      </c>
      <c r="K142" s="373" t="str">
        <f t="shared" si="101"/>
        <v>E2.P_F.MR1</v>
      </c>
      <c r="L142" s="408" t="s">
        <v>334</v>
      </c>
      <c r="M142" s="409" t="s">
        <v>953</v>
      </c>
      <c r="N142" s="374">
        <v>25</v>
      </c>
      <c r="O142" s="288">
        <v>90</v>
      </c>
      <c r="P142" s="376" t="s">
        <v>112</v>
      </c>
      <c r="Q142" s="377" t="str">
        <f t="shared" si="102"/>
        <v>E2.P_F.MR1-MP04-1</v>
      </c>
      <c r="R142" s="420" t="s">
        <v>966</v>
      </c>
      <c r="S142" s="314" t="s">
        <v>967</v>
      </c>
      <c r="T142" s="293">
        <v>10</v>
      </c>
      <c r="U142" s="294">
        <v>20</v>
      </c>
      <c r="V142" s="293" t="s">
        <v>67</v>
      </c>
      <c r="W142" s="295">
        <v>6</v>
      </c>
      <c r="X142" s="296">
        <v>6</v>
      </c>
      <c r="Y142" s="295">
        <v>4</v>
      </c>
      <c r="Z142" s="297">
        <v>4</v>
      </c>
      <c r="AA142" s="298"/>
      <c r="AB142" s="299"/>
      <c r="AC142" s="299"/>
      <c r="AD142" s="299"/>
      <c r="AE142" s="299"/>
      <c r="AF142" s="299"/>
      <c r="AG142" s="299"/>
      <c r="AH142" s="299"/>
      <c r="AI142" s="299"/>
      <c r="AJ142" s="299"/>
      <c r="AK142" s="299"/>
      <c r="AL142" s="299"/>
      <c r="AM142" s="299"/>
      <c r="AN142" s="299"/>
      <c r="AO142" s="299"/>
      <c r="AP142" s="299"/>
      <c r="AQ142" s="299"/>
      <c r="AR142" s="299"/>
      <c r="AS142" s="299"/>
      <c r="AT142" s="299"/>
      <c r="AU142" s="299"/>
      <c r="AV142" s="299"/>
      <c r="AW142" s="299"/>
      <c r="AX142" s="299"/>
      <c r="AY142" s="299"/>
      <c r="AZ142" s="299"/>
      <c r="BA142" s="299"/>
      <c r="BB142" s="299"/>
      <c r="BC142" s="300"/>
      <c r="BD142" s="301"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8" t="s">
        <v>966</v>
      </c>
      <c r="EN142" s="274" t="s">
        <v>967</v>
      </c>
      <c r="EO142" s="274">
        <v>10</v>
      </c>
      <c r="EP142" s="274">
        <v>20</v>
      </c>
      <c r="EQ142" s="275">
        <v>6</v>
      </c>
      <c r="ER142" s="275">
        <v>6</v>
      </c>
      <c r="ES142" s="275">
        <v>4</v>
      </c>
      <c r="ET142" s="826">
        <v>4</v>
      </c>
    </row>
    <row r="143" spans="1:150" ht="39" customHeight="1" thickBot="1" x14ac:dyDescent="0.25">
      <c r="A143" s="277" t="s">
        <v>76</v>
      </c>
      <c r="B143" s="428" t="s">
        <v>77</v>
      </c>
      <c r="C143" s="429" t="s">
        <v>826</v>
      </c>
      <c r="D143" s="636"/>
      <c r="E143" s="23" t="s">
        <v>718</v>
      </c>
      <c r="F143" s="23" t="str">
        <f t="shared" si="100"/>
        <v>E2.P_F</v>
      </c>
      <c r="G143" s="409" t="s">
        <v>239</v>
      </c>
      <c r="H143" s="452" t="s">
        <v>360</v>
      </c>
      <c r="I143" s="462"/>
      <c r="J143" s="463" t="s">
        <v>61</v>
      </c>
      <c r="K143" s="464" t="str">
        <f t="shared" si="101"/>
        <v>E2.P_F.MR1</v>
      </c>
      <c r="L143" s="424" t="s">
        <v>334</v>
      </c>
      <c r="M143" s="425" t="s">
        <v>953</v>
      </c>
      <c r="N143" s="388">
        <v>25</v>
      </c>
      <c r="O143" s="426">
        <v>90</v>
      </c>
      <c r="P143" s="390" t="s">
        <v>122</v>
      </c>
      <c r="Q143" s="391" t="str">
        <f t="shared" si="102"/>
        <v>E2.P_F.MR1-MP05-1</v>
      </c>
      <c r="R143" s="475" t="s">
        <v>970</v>
      </c>
      <c r="S143" s="337" t="s">
        <v>971</v>
      </c>
      <c r="T143" s="559">
        <v>0.15</v>
      </c>
      <c r="U143" s="560">
        <v>0.65</v>
      </c>
      <c r="V143" s="559" t="s">
        <v>67</v>
      </c>
      <c r="W143" s="352">
        <v>0</v>
      </c>
      <c r="X143" s="620">
        <v>0.3</v>
      </c>
      <c r="Y143" s="402">
        <v>0.3</v>
      </c>
      <c r="Z143" s="396">
        <v>0.05</v>
      </c>
      <c r="AA143" s="324"/>
      <c r="AB143" s="325"/>
      <c r="AC143" s="325"/>
      <c r="AD143" s="325"/>
      <c r="AE143" s="325"/>
      <c r="AF143" s="325"/>
      <c r="AG143" s="325"/>
      <c r="AH143" s="325"/>
      <c r="AI143" s="325"/>
      <c r="AJ143" s="325"/>
      <c r="AK143" s="325"/>
      <c r="AL143" s="325"/>
      <c r="AM143" s="325"/>
      <c r="AN143" s="325"/>
      <c r="AO143" s="325"/>
      <c r="AP143" s="325"/>
      <c r="AQ143" s="325"/>
      <c r="AR143" s="325"/>
      <c r="AS143" s="325"/>
      <c r="AT143" s="325"/>
      <c r="AU143" s="325"/>
      <c r="AV143" s="325"/>
      <c r="AW143" s="325"/>
      <c r="AX143" s="325"/>
      <c r="AY143" s="325"/>
      <c r="AZ143" s="325"/>
      <c r="BA143" s="325"/>
      <c r="BB143" s="325"/>
      <c r="BC143" s="326"/>
      <c r="BD143" s="301"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8" t="s">
        <v>970</v>
      </c>
      <c r="EN143" s="274" t="s">
        <v>971</v>
      </c>
      <c r="EO143" s="275">
        <v>15</v>
      </c>
      <c r="EP143" s="275">
        <v>65</v>
      </c>
      <c r="EQ143" s="275">
        <v>0</v>
      </c>
      <c r="ER143" s="276">
        <v>30</v>
      </c>
      <c r="ES143" s="276">
        <v>30</v>
      </c>
      <c r="ET143" s="825">
        <v>5</v>
      </c>
    </row>
    <row r="144" spans="1:150" ht="90" customHeight="1" x14ac:dyDescent="0.2">
      <c r="A144" s="277" t="s">
        <v>76</v>
      </c>
      <c r="B144" s="428" t="s">
        <v>77</v>
      </c>
      <c r="C144" s="429" t="s">
        <v>826</v>
      </c>
      <c r="D144" s="636"/>
      <c r="E144" s="23" t="s">
        <v>718</v>
      </c>
      <c r="F144" s="23" t="str">
        <f t="shared" si="100"/>
        <v>E2.P_F</v>
      </c>
      <c r="G144" s="409" t="s">
        <v>239</v>
      </c>
      <c r="H144" s="452" t="s">
        <v>360</v>
      </c>
      <c r="I144" s="453" t="s">
        <v>974</v>
      </c>
      <c r="J144" s="454" t="s">
        <v>167</v>
      </c>
      <c r="K144" s="455" t="str">
        <f t="shared" si="101"/>
        <v>E2.P_F.MR2</v>
      </c>
      <c r="L144" s="360" t="s">
        <v>345</v>
      </c>
      <c r="M144" s="361" t="s">
        <v>975</v>
      </c>
      <c r="N144" s="362">
        <v>18152</v>
      </c>
      <c r="O144" s="247">
        <v>40000</v>
      </c>
      <c r="P144" s="364" t="s">
        <v>64</v>
      </c>
      <c r="Q144" s="365" t="str">
        <f t="shared" si="102"/>
        <v>E2.P_F.MR2-MP01-1</v>
      </c>
      <c r="R144" s="416" t="s">
        <v>976</v>
      </c>
      <c r="S144" s="367" t="s">
        <v>977</v>
      </c>
      <c r="T144" s="507">
        <v>0</v>
      </c>
      <c r="U144" s="508">
        <v>1</v>
      </c>
      <c r="V144" s="507" t="s">
        <v>67</v>
      </c>
      <c r="W144" s="561">
        <v>0.25</v>
      </c>
      <c r="X144" s="562">
        <v>0.35</v>
      </c>
      <c r="Y144" s="561">
        <v>0.25</v>
      </c>
      <c r="Z144" s="563">
        <v>0.15</v>
      </c>
      <c r="AA144" s="382"/>
      <c r="AB144" s="383"/>
      <c r="AC144" s="383"/>
      <c r="AD144" s="383"/>
      <c r="AE144" s="383"/>
      <c r="AF144" s="383"/>
      <c r="AG144" s="383"/>
      <c r="AH144" s="383"/>
      <c r="AI144" s="383"/>
      <c r="AJ144" s="383"/>
      <c r="AK144" s="383"/>
      <c r="AL144" s="383"/>
      <c r="AM144" s="383"/>
      <c r="AN144" s="383"/>
      <c r="AO144" s="383"/>
      <c r="AP144" s="383"/>
      <c r="AQ144" s="383"/>
      <c r="AR144" s="383"/>
      <c r="AS144" s="383"/>
      <c r="AT144" s="383"/>
      <c r="AU144" s="383"/>
      <c r="AV144" s="383"/>
      <c r="AW144" s="383"/>
      <c r="AX144" s="383"/>
      <c r="AY144" s="383"/>
      <c r="AZ144" s="383"/>
      <c r="BA144" s="383"/>
      <c r="BB144" s="383"/>
      <c r="BC144" s="384"/>
      <c r="BD144" s="301"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8" t="s">
        <v>976</v>
      </c>
      <c r="EN144" s="274" t="s">
        <v>977</v>
      </c>
      <c r="EO144" s="385">
        <v>0</v>
      </c>
      <c r="EP144" s="385">
        <v>1</v>
      </c>
      <c r="EQ144" s="329">
        <v>0.25</v>
      </c>
      <c r="ER144" s="816">
        <v>0</v>
      </c>
      <c r="ES144" s="816">
        <v>0.35</v>
      </c>
      <c r="ET144" s="827">
        <v>0.4</v>
      </c>
    </row>
    <row r="145" spans="1:150" ht="44.25" customHeight="1" x14ac:dyDescent="0.2">
      <c r="A145" s="277" t="s">
        <v>76</v>
      </c>
      <c r="B145" s="428" t="s">
        <v>77</v>
      </c>
      <c r="C145" s="429" t="s">
        <v>826</v>
      </c>
      <c r="D145" s="636"/>
      <c r="E145" s="23" t="s">
        <v>718</v>
      </c>
      <c r="F145" s="23" t="str">
        <f t="shared" si="100"/>
        <v>E2.P_F</v>
      </c>
      <c r="G145" s="409" t="s">
        <v>239</v>
      </c>
      <c r="H145" s="452" t="s">
        <v>360</v>
      </c>
      <c r="I145" s="456"/>
      <c r="J145" s="457" t="s">
        <v>167</v>
      </c>
      <c r="K145" s="373" t="str">
        <f t="shared" si="101"/>
        <v>E2.P_F.MR2</v>
      </c>
      <c r="L145" s="408" t="s">
        <v>345</v>
      </c>
      <c r="M145" s="409" t="s">
        <v>975</v>
      </c>
      <c r="N145" s="374">
        <v>18152</v>
      </c>
      <c r="O145" s="288">
        <v>40000</v>
      </c>
      <c r="P145" s="376" t="s">
        <v>87</v>
      </c>
      <c r="Q145" s="377" t="str">
        <f t="shared" si="102"/>
        <v>E2.P_F.MR2-MP02-1</v>
      </c>
      <c r="R145" s="420" t="s">
        <v>980</v>
      </c>
      <c r="S145" s="314" t="s">
        <v>981</v>
      </c>
      <c r="T145" s="380">
        <v>0</v>
      </c>
      <c r="U145" s="381">
        <v>4</v>
      </c>
      <c r="V145" s="380" t="s">
        <v>67</v>
      </c>
      <c r="W145" s="295">
        <v>1</v>
      </c>
      <c r="X145" s="296">
        <v>1</v>
      </c>
      <c r="Y145" s="295">
        <v>1</v>
      </c>
      <c r="Z145" s="297">
        <v>1</v>
      </c>
      <c r="AA145" s="382"/>
      <c r="AB145" s="383"/>
      <c r="AC145" s="383"/>
      <c r="AD145" s="383"/>
      <c r="AE145" s="383"/>
      <c r="AF145" s="383"/>
      <c r="AG145" s="383"/>
      <c r="AH145" s="383"/>
      <c r="AI145" s="383"/>
      <c r="AJ145" s="383"/>
      <c r="AK145" s="383"/>
      <c r="AL145" s="383"/>
      <c r="AM145" s="383"/>
      <c r="AN145" s="383"/>
      <c r="AO145" s="383"/>
      <c r="AP145" s="383"/>
      <c r="AQ145" s="383"/>
      <c r="AR145" s="383"/>
      <c r="AS145" s="383"/>
      <c r="AT145" s="383"/>
      <c r="AU145" s="383"/>
      <c r="AV145" s="383"/>
      <c r="AW145" s="383"/>
      <c r="AX145" s="383"/>
      <c r="AY145" s="383"/>
      <c r="AZ145" s="383"/>
      <c r="BA145" s="383"/>
      <c r="BB145" s="383"/>
      <c r="BC145" s="384"/>
      <c r="BD145" s="301"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8" t="s">
        <v>980</v>
      </c>
      <c r="EN145" s="274" t="s">
        <v>981</v>
      </c>
      <c r="EO145" s="385">
        <v>0</v>
      </c>
      <c r="EP145" s="385">
        <v>4</v>
      </c>
      <c r="EQ145" s="275">
        <v>1</v>
      </c>
      <c r="ER145" s="275">
        <v>1</v>
      </c>
      <c r="ES145" s="275">
        <v>1</v>
      </c>
      <c r="ET145" s="826">
        <v>1</v>
      </c>
    </row>
    <row r="146" spans="1:150" ht="41.25" customHeight="1" x14ac:dyDescent="0.2">
      <c r="A146" s="277" t="s">
        <v>76</v>
      </c>
      <c r="B146" s="428" t="s">
        <v>77</v>
      </c>
      <c r="C146" s="429" t="s">
        <v>826</v>
      </c>
      <c r="D146" s="636"/>
      <c r="E146" s="23" t="s">
        <v>718</v>
      </c>
      <c r="F146" s="23" t="str">
        <f t="shared" si="100"/>
        <v>E2.P_F</v>
      </c>
      <c r="G146" s="409" t="s">
        <v>239</v>
      </c>
      <c r="H146" s="452" t="s">
        <v>360</v>
      </c>
      <c r="I146" s="456"/>
      <c r="J146" s="457" t="s">
        <v>167</v>
      </c>
      <c r="K146" s="373" t="str">
        <f t="shared" si="101"/>
        <v>E2.P_F.MR2</v>
      </c>
      <c r="L146" s="408" t="s">
        <v>345</v>
      </c>
      <c r="M146" s="409" t="s">
        <v>975</v>
      </c>
      <c r="N146" s="374">
        <v>18152</v>
      </c>
      <c r="O146" s="288">
        <v>40000</v>
      </c>
      <c r="P146" s="376" t="s">
        <v>99</v>
      </c>
      <c r="Q146" s="377" t="str">
        <f t="shared" si="102"/>
        <v>E2.P_F.MR2-MP03-1</v>
      </c>
      <c r="R146" s="420" t="s">
        <v>984</v>
      </c>
      <c r="S146" s="314" t="s">
        <v>985</v>
      </c>
      <c r="T146" s="380">
        <v>1</v>
      </c>
      <c r="U146" s="381">
        <v>3</v>
      </c>
      <c r="V146" s="380" t="s">
        <v>67</v>
      </c>
      <c r="W146" s="295">
        <v>0</v>
      </c>
      <c r="X146" s="296">
        <v>1</v>
      </c>
      <c r="Y146" s="295">
        <v>1</v>
      </c>
      <c r="Z146" s="297">
        <v>1</v>
      </c>
      <c r="AA146" s="382"/>
      <c r="AB146" s="383"/>
      <c r="AC146" s="383"/>
      <c r="AD146" s="383"/>
      <c r="AE146" s="383"/>
      <c r="AF146" s="383"/>
      <c r="AG146" s="383"/>
      <c r="AH146" s="383"/>
      <c r="AI146" s="383"/>
      <c r="AJ146" s="383"/>
      <c r="AK146" s="383"/>
      <c r="AL146" s="383"/>
      <c r="AM146" s="383"/>
      <c r="AN146" s="383"/>
      <c r="AO146" s="383"/>
      <c r="AP146" s="383"/>
      <c r="AQ146" s="383"/>
      <c r="AR146" s="383"/>
      <c r="AS146" s="383"/>
      <c r="AT146" s="383"/>
      <c r="AU146" s="383"/>
      <c r="AV146" s="383"/>
      <c r="AW146" s="383"/>
      <c r="AX146" s="383"/>
      <c r="AY146" s="383"/>
      <c r="AZ146" s="383"/>
      <c r="BA146" s="383"/>
      <c r="BB146" s="383"/>
      <c r="BC146" s="384"/>
      <c r="BD146" s="301"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8" t="s">
        <v>984</v>
      </c>
      <c r="EN146" s="274" t="s">
        <v>985</v>
      </c>
      <c r="EO146" s="385">
        <v>1</v>
      </c>
      <c r="EP146" s="385">
        <v>3</v>
      </c>
      <c r="EQ146" s="275">
        <v>1</v>
      </c>
      <c r="ER146" s="275">
        <v>1</v>
      </c>
      <c r="ES146" s="275">
        <v>1</v>
      </c>
      <c r="ET146" s="826">
        <v>0</v>
      </c>
    </row>
    <row r="147" spans="1:150" ht="51.75" customHeight="1" thickBot="1" x14ac:dyDescent="0.25">
      <c r="A147" s="277" t="s">
        <v>76</v>
      </c>
      <c r="B147" s="596" t="s">
        <v>77</v>
      </c>
      <c r="C147" s="597" t="s">
        <v>826</v>
      </c>
      <c r="D147" s="637"/>
      <c r="E147" s="24" t="s">
        <v>718</v>
      </c>
      <c r="F147" s="24" t="str">
        <f t="shared" si="100"/>
        <v>E2.P_F</v>
      </c>
      <c r="G147" s="425" t="s">
        <v>239</v>
      </c>
      <c r="H147" s="564" t="s">
        <v>360</v>
      </c>
      <c r="I147" s="462"/>
      <c r="J147" s="457" t="s">
        <v>167</v>
      </c>
      <c r="K147" s="373" t="str">
        <f t="shared" si="101"/>
        <v>E2.P_F.MR2</v>
      </c>
      <c r="L147" s="408" t="s">
        <v>345</v>
      </c>
      <c r="M147" s="409" t="s">
        <v>975</v>
      </c>
      <c r="N147" s="388">
        <v>18152</v>
      </c>
      <c r="O147" s="426">
        <v>40000</v>
      </c>
      <c r="P147" s="390" t="s">
        <v>112</v>
      </c>
      <c r="Q147" s="391" t="str">
        <f t="shared" si="102"/>
        <v>E2.P_F.MR2-MP04-1</v>
      </c>
      <c r="R147" s="427" t="s">
        <v>988</v>
      </c>
      <c r="S147" s="349" t="s">
        <v>989</v>
      </c>
      <c r="T147" s="392">
        <v>0</v>
      </c>
      <c r="U147" s="393">
        <v>1</v>
      </c>
      <c r="V147" s="392" t="s">
        <v>67</v>
      </c>
      <c r="W147" s="402">
        <v>0.2</v>
      </c>
      <c r="X147" s="620">
        <v>0.2</v>
      </c>
      <c r="Y147" s="402">
        <v>0.3</v>
      </c>
      <c r="Z147" s="403">
        <v>0.3</v>
      </c>
      <c r="AA147" s="638"/>
      <c r="AB147" s="639"/>
      <c r="AC147" s="639"/>
      <c r="AD147" s="639"/>
      <c r="AE147" s="639"/>
      <c r="AF147" s="639"/>
      <c r="AG147" s="639"/>
      <c r="AH147" s="639"/>
      <c r="AI147" s="639"/>
      <c r="AJ147" s="639"/>
      <c r="AK147" s="639"/>
      <c r="AL147" s="639"/>
      <c r="AM147" s="639"/>
      <c r="AN147" s="639"/>
      <c r="AO147" s="639"/>
      <c r="AP147" s="639"/>
      <c r="AQ147" s="639"/>
      <c r="AR147" s="639"/>
      <c r="AS147" s="639"/>
      <c r="AT147" s="639"/>
      <c r="AU147" s="639"/>
      <c r="AV147" s="639"/>
      <c r="AW147" s="639"/>
      <c r="AX147" s="639"/>
      <c r="AY147" s="639"/>
      <c r="AZ147" s="639"/>
      <c r="BA147" s="639"/>
      <c r="BB147" s="639"/>
      <c r="BC147" s="640"/>
      <c r="BD147" s="301"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8" t="s">
        <v>988</v>
      </c>
      <c r="EN147" s="274" t="s">
        <v>989</v>
      </c>
      <c r="EO147" s="385">
        <v>0</v>
      </c>
      <c r="EP147" s="385">
        <v>1</v>
      </c>
      <c r="EQ147" s="276">
        <v>0.2</v>
      </c>
      <c r="ER147" s="276">
        <v>0.2</v>
      </c>
      <c r="ES147" s="276">
        <v>0.3</v>
      </c>
      <c r="ET147" s="829">
        <v>0.3</v>
      </c>
    </row>
    <row r="148" spans="1:150" ht="107.25" customHeight="1" x14ac:dyDescent="0.2">
      <c r="A148" s="235" t="s">
        <v>90</v>
      </c>
      <c r="B148" s="602" t="s">
        <v>91</v>
      </c>
      <c r="C148" s="603" t="s">
        <v>992</v>
      </c>
      <c r="D148" s="430" t="s">
        <v>993</v>
      </c>
      <c r="E148" s="3" t="s">
        <v>57</v>
      </c>
      <c r="F148" s="641" t="str">
        <f t="shared" si="100"/>
        <v>E3.P_A</v>
      </c>
      <c r="G148" s="478" t="s">
        <v>250</v>
      </c>
      <c r="H148" s="361" t="s">
        <v>386</v>
      </c>
      <c r="I148" s="811" t="s">
        <v>994</v>
      </c>
      <c r="J148" s="434" t="s">
        <v>61</v>
      </c>
      <c r="K148" s="398" t="str">
        <f t="shared" si="101"/>
        <v>E3.P_A.MR1</v>
      </c>
      <c r="L148" s="360" t="s">
        <v>356</v>
      </c>
      <c r="M148" s="361" t="s">
        <v>995</v>
      </c>
      <c r="N148" s="479">
        <v>87</v>
      </c>
      <c r="O148" s="479">
        <v>114</v>
      </c>
      <c r="P148" s="642" t="s">
        <v>64</v>
      </c>
      <c r="Q148" s="643" t="str">
        <f t="shared" si="102"/>
        <v>E3.P_A.MR1-MP01-1</v>
      </c>
      <c r="R148" s="505" t="s">
        <v>996</v>
      </c>
      <c r="S148" s="644" t="s">
        <v>997</v>
      </c>
      <c r="T148" s="368">
        <v>12</v>
      </c>
      <c r="U148" s="369">
        <v>17</v>
      </c>
      <c r="V148" s="368" t="s">
        <v>67</v>
      </c>
      <c r="W148" s="255">
        <v>0</v>
      </c>
      <c r="X148" s="370">
        <v>3</v>
      </c>
      <c r="Y148" s="255">
        <v>2</v>
      </c>
      <c r="Z148" s="371">
        <v>0</v>
      </c>
      <c r="AA148" s="259">
        <f>5200000+35086911+488195319+197696328+2027636000+1000000000+500000000+200000000+694038535+41241099+2596388435+3746307390+955074829+388313391</f>
        <v>12875178237</v>
      </c>
      <c r="AB148" s="260">
        <v>0</v>
      </c>
      <c r="AC148" s="260">
        <f>1838296900-1000000000</f>
        <v>838296900</v>
      </c>
      <c r="AD148" s="260">
        <v>0</v>
      </c>
      <c r="AE148" s="260">
        <v>0</v>
      </c>
      <c r="AF148" s="260">
        <f>757742708+378871354+76097685+589045869+300520000+1010857538-894941217</f>
        <v>2218193937</v>
      </c>
      <c r="AG148" s="260">
        <f>SUM(AA148:AF148)</f>
        <v>15931669074</v>
      </c>
      <c r="AH148" s="260">
        <f>AA148*1.035-173090969</f>
        <v>13152718506.294998</v>
      </c>
      <c r="AI148" s="260">
        <v>215131029</v>
      </c>
      <c r="AJ148" s="260">
        <f>521638097+2620208292-1035000000</f>
        <v>2106846389</v>
      </c>
      <c r="AK148" s="260"/>
      <c r="AL148" s="260">
        <f t="shared" ref="AL148" si="111">AE148*1.035</f>
        <v>0</v>
      </c>
      <c r="AM148" s="260">
        <f>AF148*1.035-450649552</f>
        <v>1845181172.7949996</v>
      </c>
      <c r="AN148" s="260">
        <f>SUM(AH148:AM148)</f>
        <v>17319877097.089996</v>
      </c>
      <c r="AO148" s="260">
        <f>AH148*1.035-87570968+2500000000</f>
        <v>16025492686.015322</v>
      </c>
      <c r="AP148" s="260">
        <f>AI148*1.035-222660000</f>
        <v>615.01499998569489</v>
      </c>
      <c r="AQ148" s="260">
        <v>33296026</v>
      </c>
      <c r="AR148" s="260">
        <f t="shared" ref="AR148:AS148" si="112">AK148*1.035</f>
        <v>0</v>
      </c>
      <c r="AS148" s="260">
        <f t="shared" si="112"/>
        <v>0</v>
      </c>
      <c r="AT148" s="260">
        <f>AM148*1.035-168674411</f>
        <v>1741088102.8428245</v>
      </c>
      <c r="AU148" s="260">
        <f>SUM(AO148:AT148)</f>
        <v>17799877429.873146</v>
      </c>
      <c r="AV148" s="260">
        <f>AO148*1.035-721010969</f>
        <v>15865373961.025856</v>
      </c>
      <c r="AW148" s="260">
        <f>AP148*1.035-1</f>
        <v>635.54052498519411</v>
      </c>
      <c r="AX148" s="260">
        <f>4755371570+3782457543-1108717875</f>
        <v>7429111238</v>
      </c>
      <c r="AY148" s="260">
        <f t="shared" ref="AY148:AZ148" si="113">AR148*1.035</f>
        <v>0</v>
      </c>
      <c r="AZ148" s="260">
        <f t="shared" si="113"/>
        <v>0</v>
      </c>
      <c r="BA148" s="260">
        <f>AT148*1.035+702002694</f>
        <v>2504028880.4423232</v>
      </c>
      <c r="BB148" s="260">
        <f>SUM(AV148:BA148)</f>
        <v>25798514715.008705</v>
      </c>
      <c r="BC148" s="645">
        <f t="shared" ref="BC148" si="114">+BB148+AU148+AN148+AG148</f>
        <v>76849938315.971848</v>
      </c>
      <c r="BD148" s="301"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8" t="s">
        <v>996</v>
      </c>
      <c r="EN148" s="274" t="s">
        <v>997</v>
      </c>
      <c r="EO148" s="807">
        <v>12</v>
      </c>
      <c r="EP148" s="807">
        <v>17</v>
      </c>
      <c r="EQ148" s="806">
        <v>0</v>
      </c>
      <c r="ER148" s="806">
        <v>3</v>
      </c>
      <c r="ES148" s="806">
        <v>2</v>
      </c>
      <c r="ET148" s="836">
        <v>0</v>
      </c>
    </row>
    <row r="149" spans="1:150" ht="57.75" customHeight="1" x14ac:dyDescent="0.2">
      <c r="A149" s="277" t="s">
        <v>90</v>
      </c>
      <c r="B149" s="428" t="s">
        <v>91</v>
      </c>
      <c r="C149" s="429" t="s">
        <v>992</v>
      </c>
      <c r="D149" s="429"/>
      <c r="E149" s="8" t="s">
        <v>57</v>
      </c>
      <c r="F149" s="647" t="str">
        <f t="shared" si="100"/>
        <v>E3.P_A</v>
      </c>
      <c r="G149" s="409" t="s">
        <v>250</v>
      </c>
      <c r="H149" s="648" t="s">
        <v>386</v>
      </c>
      <c r="I149" s="442"/>
      <c r="J149" s="284" t="s">
        <v>61</v>
      </c>
      <c r="K149" s="285" t="str">
        <f t="shared" si="101"/>
        <v>E3.P_A.MR1</v>
      </c>
      <c r="L149" s="408" t="s">
        <v>356</v>
      </c>
      <c r="M149" s="409" t="s">
        <v>995</v>
      </c>
      <c r="N149" s="491">
        <v>87</v>
      </c>
      <c r="O149" s="10">
        <v>114</v>
      </c>
      <c r="P149" s="480" t="s">
        <v>87</v>
      </c>
      <c r="Q149" s="492" t="str">
        <f t="shared" si="102"/>
        <v>E3.P_A.MR1-MP02-1</v>
      </c>
      <c r="R149" s="420" t="s">
        <v>1001</v>
      </c>
      <c r="S149" s="649" t="s">
        <v>1002</v>
      </c>
      <c r="T149" s="293">
        <v>0</v>
      </c>
      <c r="U149" s="294">
        <v>3</v>
      </c>
      <c r="V149" s="293" t="s">
        <v>67</v>
      </c>
      <c r="W149" s="315">
        <v>0.2</v>
      </c>
      <c r="X149" s="330">
        <v>0.8</v>
      </c>
      <c r="Y149" s="295">
        <v>1</v>
      </c>
      <c r="Z149" s="297">
        <v>1</v>
      </c>
      <c r="AA149" s="298"/>
      <c r="AB149" s="299"/>
      <c r="AC149" s="299"/>
      <c r="AD149" s="299"/>
      <c r="AE149" s="299"/>
      <c r="AF149" s="299"/>
      <c r="AG149" s="299"/>
      <c r="AH149" s="299"/>
      <c r="AI149" s="299"/>
      <c r="AJ149" s="299"/>
      <c r="AK149" s="299"/>
      <c r="AL149" s="299"/>
      <c r="AM149" s="299"/>
      <c r="AN149" s="299"/>
      <c r="AO149" s="299"/>
      <c r="AP149" s="299"/>
      <c r="AQ149" s="299"/>
      <c r="AR149" s="299"/>
      <c r="AS149" s="299"/>
      <c r="AT149" s="299"/>
      <c r="AU149" s="299"/>
      <c r="AV149" s="299"/>
      <c r="AW149" s="299"/>
      <c r="AX149" s="299"/>
      <c r="AY149" s="299"/>
      <c r="AZ149" s="299"/>
      <c r="BA149" s="299"/>
      <c r="BB149" s="299"/>
      <c r="BC149" s="300"/>
      <c r="BD149" s="301"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8" t="s">
        <v>1001</v>
      </c>
      <c r="EN149" s="274" t="s">
        <v>1002</v>
      </c>
      <c r="EO149" s="274">
        <v>0</v>
      </c>
      <c r="EP149" s="274">
        <v>3</v>
      </c>
      <c r="EQ149" s="276">
        <v>0.2</v>
      </c>
      <c r="ER149" s="839">
        <v>0.2</v>
      </c>
      <c r="ES149" s="839">
        <v>1.6</v>
      </c>
      <c r="ET149" s="826">
        <v>1</v>
      </c>
    </row>
    <row r="150" spans="1:150" ht="45.75" customHeight="1" x14ac:dyDescent="0.2">
      <c r="A150" s="277" t="s">
        <v>90</v>
      </c>
      <c r="B150" s="428" t="s">
        <v>91</v>
      </c>
      <c r="C150" s="429" t="s">
        <v>992</v>
      </c>
      <c r="D150" s="429"/>
      <c r="E150" s="8" t="s">
        <v>57</v>
      </c>
      <c r="F150" s="647" t="str">
        <f t="shared" si="100"/>
        <v>E3.P_A</v>
      </c>
      <c r="G150" s="409" t="s">
        <v>250</v>
      </c>
      <c r="H150" s="648" t="s">
        <v>386</v>
      </c>
      <c r="I150" s="442"/>
      <c r="J150" s="284" t="s">
        <v>61</v>
      </c>
      <c r="K150" s="285" t="str">
        <f t="shared" si="101"/>
        <v>E3.P_A.MR1</v>
      </c>
      <c r="L150" s="408" t="s">
        <v>356</v>
      </c>
      <c r="M150" s="409" t="s">
        <v>995</v>
      </c>
      <c r="N150" s="491">
        <v>87</v>
      </c>
      <c r="O150" s="10">
        <v>114</v>
      </c>
      <c r="P150" s="480" t="s">
        <v>99</v>
      </c>
      <c r="Q150" s="492" t="str">
        <f t="shared" si="102"/>
        <v>E3.P_A.MR1-MP03-1</v>
      </c>
      <c r="R150" s="420" t="s">
        <v>1005</v>
      </c>
      <c r="S150" s="649" t="s">
        <v>1006</v>
      </c>
      <c r="T150" s="380">
        <v>12</v>
      </c>
      <c r="U150" s="381">
        <v>12</v>
      </c>
      <c r="V150" s="380" t="s">
        <v>102</v>
      </c>
      <c r="W150" s="295">
        <v>0</v>
      </c>
      <c r="X150" s="296">
        <v>4</v>
      </c>
      <c r="Y150" s="295">
        <v>4</v>
      </c>
      <c r="Z150" s="297">
        <v>4</v>
      </c>
      <c r="AA150" s="382"/>
      <c r="AB150" s="383"/>
      <c r="AC150" s="383"/>
      <c r="AD150" s="383"/>
      <c r="AE150" s="383"/>
      <c r="AF150" s="383"/>
      <c r="AG150" s="383"/>
      <c r="AH150" s="383"/>
      <c r="AI150" s="383"/>
      <c r="AJ150" s="383"/>
      <c r="AK150" s="383"/>
      <c r="AL150" s="383"/>
      <c r="AM150" s="383"/>
      <c r="AN150" s="383"/>
      <c r="AO150" s="383"/>
      <c r="AP150" s="383"/>
      <c r="AQ150" s="383"/>
      <c r="AR150" s="383"/>
      <c r="AS150" s="383"/>
      <c r="AT150" s="383"/>
      <c r="AU150" s="383"/>
      <c r="AV150" s="383"/>
      <c r="AW150" s="383"/>
      <c r="AX150" s="383"/>
      <c r="AY150" s="383"/>
      <c r="AZ150" s="383"/>
      <c r="BA150" s="383"/>
      <c r="BB150" s="383"/>
      <c r="BC150" s="384"/>
      <c r="BD150" s="301"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8" t="s">
        <v>1005</v>
      </c>
      <c r="EN150" s="274" t="s">
        <v>1006</v>
      </c>
      <c r="EO150" s="385">
        <v>12</v>
      </c>
      <c r="EP150" s="385">
        <v>12</v>
      </c>
      <c r="EQ150" s="275">
        <v>12</v>
      </c>
      <c r="ER150" s="840">
        <v>4</v>
      </c>
      <c r="ES150" s="840">
        <v>4</v>
      </c>
      <c r="ET150" s="841">
        <v>4</v>
      </c>
    </row>
    <row r="151" spans="1:150" ht="45" customHeight="1" x14ac:dyDescent="0.2">
      <c r="A151" s="277" t="s">
        <v>90</v>
      </c>
      <c r="B151" s="428" t="s">
        <v>91</v>
      </c>
      <c r="C151" s="429" t="s">
        <v>992</v>
      </c>
      <c r="D151" s="429"/>
      <c r="E151" s="8" t="s">
        <v>57</v>
      </c>
      <c r="F151" s="647" t="str">
        <f t="shared" si="100"/>
        <v>E3.P_A</v>
      </c>
      <c r="G151" s="409" t="s">
        <v>250</v>
      </c>
      <c r="H151" s="648" t="s">
        <v>386</v>
      </c>
      <c r="I151" s="442"/>
      <c r="J151" s="284" t="s">
        <v>61</v>
      </c>
      <c r="K151" s="285" t="str">
        <f t="shared" si="101"/>
        <v>E3.P_A.MR1</v>
      </c>
      <c r="L151" s="408" t="s">
        <v>356</v>
      </c>
      <c r="M151" s="409" t="s">
        <v>995</v>
      </c>
      <c r="N151" s="491">
        <v>87</v>
      </c>
      <c r="O151" s="10">
        <v>114</v>
      </c>
      <c r="P151" s="480" t="s">
        <v>112</v>
      </c>
      <c r="Q151" s="492" t="str">
        <f t="shared" si="102"/>
        <v>E3.P_A.MR1-MP04-1</v>
      </c>
      <c r="R151" s="420" t="s">
        <v>1009</v>
      </c>
      <c r="S151" s="649" t="s">
        <v>1010</v>
      </c>
      <c r="T151" s="380">
        <v>26</v>
      </c>
      <c r="U151" s="381">
        <v>28</v>
      </c>
      <c r="V151" s="380" t="s">
        <v>67</v>
      </c>
      <c r="W151" s="295">
        <v>0</v>
      </c>
      <c r="X151" s="296">
        <v>1</v>
      </c>
      <c r="Y151" s="295">
        <v>1</v>
      </c>
      <c r="Z151" s="297">
        <v>0</v>
      </c>
      <c r="AA151" s="382"/>
      <c r="AB151" s="383"/>
      <c r="AC151" s="383"/>
      <c r="AD151" s="383"/>
      <c r="AE151" s="383"/>
      <c r="AF151" s="383"/>
      <c r="AG151" s="383"/>
      <c r="AH151" s="383"/>
      <c r="AI151" s="383"/>
      <c r="AJ151" s="383"/>
      <c r="AK151" s="383"/>
      <c r="AL151" s="383"/>
      <c r="AM151" s="383"/>
      <c r="AN151" s="383"/>
      <c r="AO151" s="383"/>
      <c r="AP151" s="383"/>
      <c r="AQ151" s="383"/>
      <c r="AR151" s="383"/>
      <c r="AS151" s="383"/>
      <c r="AT151" s="383"/>
      <c r="AU151" s="383"/>
      <c r="AV151" s="383"/>
      <c r="AW151" s="383"/>
      <c r="AX151" s="383"/>
      <c r="AY151" s="383"/>
      <c r="AZ151" s="383"/>
      <c r="BA151" s="383"/>
      <c r="BB151" s="383"/>
      <c r="BC151" s="384"/>
      <c r="BD151" s="301"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8" t="s">
        <v>1009</v>
      </c>
      <c r="EN151" s="274" t="s">
        <v>1010</v>
      </c>
      <c r="EO151" s="837">
        <v>26</v>
      </c>
      <c r="EP151" s="837">
        <v>28</v>
      </c>
      <c r="EQ151" s="806">
        <v>0</v>
      </c>
      <c r="ER151" s="839">
        <v>0.5</v>
      </c>
      <c r="ES151" s="839">
        <v>0.5</v>
      </c>
      <c r="ET151" s="841">
        <v>1</v>
      </c>
    </row>
    <row r="152" spans="1:150" ht="63.75" customHeight="1" x14ac:dyDescent="0.2">
      <c r="A152" s="277" t="s">
        <v>90</v>
      </c>
      <c r="B152" s="428" t="s">
        <v>91</v>
      </c>
      <c r="C152" s="429" t="s">
        <v>992</v>
      </c>
      <c r="D152" s="429"/>
      <c r="E152" s="8" t="s">
        <v>57</v>
      </c>
      <c r="F152" s="647" t="str">
        <f t="shared" si="100"/>
        <v>E3.P_A</v>
      </c>
      <c r="G152" s="409" t="s">
        <v>250</v>
      </c>
      <c r="H152" s="648" t="s">
        <v>386</v>
      </c>
      <c r="I152" s="442"/>
      <c r="J152" s="284" t="s">
        <v>61</v>
      </c>
      <c r="K152" s="285" t="str">
        <f t="shared" si="101"/>
        <v>E3.P_A.MR1</v>
      </c>
      <c r="L152" s="408" t="s">
        <v>356</v>
      </c>
      <c r="M152" s="409" t="s">
        <v>995</v>
      </c>
      <c r="N152" s="491">
        <v>87</v>
      </c>
      <c r="O152" s="10">
        <v>114</v>
      </c>
      <c r="P152" s="480" t="s">
        <v>122</v>
      </c>
      <c r="Q152" s="492" t="str">
        <f t="shared" si="102"/>
        <v>E3.P_A.MR1-MP05-1</v>
      </c>
      <c r="R152" s="420" t="s">
        <v>1013</v>
      </c>
      <c r="S152" s="649" t="s">
        <v>1014</v>
      </c>
      <c r="T152" s="380">
        <v>0</v>
      </c>
      <c r="U152" s="381">
        <v>3</v>
      </c>
      <c r="V152" s="380" t="s">
        <v>67</v>
      </c>
      <c r="W152" s="295">
        <v>0</v>
      </c>
      <c r="X152" s="296">
        <v>1</v>
      </c>
      <c r="Y152" s="295">
        <v>1</v>
      </c>
      <c r="Z152" s="297">
        <v>1</v>
      </c>
      <c r="AA152" s="382"/>
      <c r="AB152" s="383"/>
      <c r="AC152" s="383"/>
      <c r="AD152" s="383"/>
      <c r="AE152" s="383"/>
      <c r="AF152" s="383"/>
      <c r="AG152" s="383"/>
      <c r="AH152" s="383"/>
      <c r="AI152" s="383"/>
      <c r="AJ152" s="383"/>
      <c r="AK152" s="383"/>
      <c r="AL152" s="383"/>
      <c r="AM152" s="383"/>
      <c r="AN152" s="383"/>
      <c r="AO152" s="383"/>
      <c r="AP152" s="383"/>
      <c r="AQ152" s="383"/>
      <c r="AR152" s="383"/>
      <c r="AS152" s="383"/>
      <c r="AT152" s="383"/>
      <c r="AU152" s="383"/>
      <c r="AV152" s="383"/>
      <c r="AW152" s="383"/>
      <c r="AX152" s="383"/>
      <c r="AY152" s="383"/>
      <c r="AZ152" s="383"/>
      <c r="BA152" s="383"/>
      <c r="BB152" s="383"/>
      <c r="BC152" s="384"/>
      <c r="BD152" s="301"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8" t="s">
        <v>1013</v>
      </c>
      <c r="EN152" s="274" t="s">
        <v>1014</v>
      </c>
      <c r="EO152" s="385">
        <v>0</v>
      </c>
      <c r="EP152" s="385">
        <v>3</v>
      </c>
      <c r="EQ152" s="275">
        <v>0</v>
      </c>
      <c r="ER152" s="840">
        <v>0</v>
      </c>
      <c r="ES152" s="840">
        <v>2</v>
      </c>
      <c r="ET152" s="826">
        <v>1</v>
      </c>
    </row>
    <row r="153" spans="1:150" ht="58.5" customHeight="1" x14ac:dyDescent="0.2">
      <c r="A153" s="277" t="s">
        <v>90</v>
      </c>
      <c r="B153" s="428" t="s">
        <v>91</v>
      </c>
      <c r="C153" s="429" t="s">
        <v>992</v>
      </c>
      <c r="D153" s="429"/>
      <c r="E153" s="8" t="s">
        <v>57</v>
      </c>
      <c r="F153" s="647" t="str">
        <f t="shared" si="100"/>
        <v>E3.P_A</v>
      </c>
      <c r="G153" s="409" t="s">
        <v>250</v>
      </c>
      <c r="H153" s="648" t="s">
        <v>386</v>
      </c>
      <c r="I153" s="442"/>
      <c r="J153" s="284" t="s">
        <v>61</v>
      </c>
      <c r="K153" s="285" t="str">
        <f t="shared" si="101"/>
        <v>E3.P_A.MR1</v>
      </c>
      <c r="L153" s="408" t="s">
        <v>356</v>
      </c>
      <c r="M153" s="409" t="s">
        <v>995</v>
      </c>
      <c r="N153" s="491">
        <v>87</v>
      </c>
      <c r="O153" s="10">
        <v>114</v>
      </c>
      <c r="P153" s="480" t="s">
        <v>132</v>
      </c>
      <c r="Q153" s="492" t="str">
        <f t="shared" si="102"/>
        <v>E3.P_A.MR1-MP06-1</v>
      </c>
      <c r="R153" s="420" t="s">
        <v>1017</v>
      </c>
      <c r="S153" s="649" t="s">
        <v>1018</v>
      </c>
      <c r="T153" s="380">
        <v>26</v>
      </c>
      <c r="U153" s="381">
        <v>26</v>
      </c>
      <c r="V153" s="380" t="s">
        <v>102</v>
      </c>
      <c r="W153" s="315">
        <v>0.2</v>
      </c>
      <c r="X153" s="330">
        <v>7.8</v>
      </c>
      <c r="Y153" s="295">
        <v>10</v>
      </c>
      <c r="Z153" s="297">
        <v>8</v>
      </c>
      <c r="AA153" s="382"/>
      <c r="AB153" s="383"/>
      <c r="AC153" s="383"/>
      <c r="AD153" s="383"/>
      <c r="AE153" s="383"/>
      <c r="AF153" s="383"/>
      <c r="AG153" s="383"/>
      <c r="AH153" s="383"/>
      <c r="AI153" s="383"/>
      <c r="AJ153" s="383"/>
      <c r="AK153" s="383"/>
      <c r="AL153" s="383"/>
      <c r="AM153" s="383"/>
      <c r="AN153" s="383"/>
      <c r="AO153" s="383"/>
      <c r="AP153" s="383"/>
      <c r="AQ153" s="383"/>
      <c r="AR153" s="383"/>
      <c r="AS153" s="383"/>
      <c r="AT153" s="383"/>
      <c r="AU153" s="383"/>
      <c r="AV153" s="383"/>
      <c r="AW153" s="383"/>
      <c r="AX153" s="383"/>
      <c r="AY153" s="383"/>
      <c r="AZ153" s="383"/>
      <c r="BA153" s="383"/>
      <c r="BB153" s="383"/>
      <c r="BC153" s="384"/>
      <c r="BD153" s="301"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8" t="s">
        <v>1017</v>
      </c>
      <c r="EN153" s="274" t="s">
        <v>1018</v>
      </c>
      <c r="EO153" s="385">
        <v>26</v>
      </c>
      <c r="EP153" s="385">
        <v>26</v>
      </c>
      <c r="EQ153" s="276">
        <v>0.2</v>
      </c>
      <c r="ER153" s="276">
        <v>7.8</v>
      </c>
      <c r="ES153" s="275">
        <v>10</v>
      </c>
      <c r="ET153" s="826">
        <v>8</v>
      </c>
    </row>
    <row r="154" spans="1:150" ht="47.25" customHeight="1" x14ac:dyDescent="0.2">
      <c r="A154" s="277" t="s">
        <v>90</v>
      </c>
      <c r="B154" s="428" t="s">
        <v>91</v>
      </c>
      <c r="C154" s="429" t="s">
        <v>992</v>
      </c>
      <c r="D154" s="429"/>
      <c r="E154" s="8" t="s">
        <v>57</v>
      </c>
      <c r="F154" s="647" t="str">
        <f t="shared" si="100"/>
        <v>E3.P_A</v>
      </c>
      <c r="G154" s="409" t="s">
        <v>250</v>
      </c>
      <c r="H154" s="648" t="s">
        <v>386</v>
      </c>
      <c r="I154" s="442"/>
      <c r="J154" s="284" t="s">
        <v>61</v>
      </c>
      <c r="K154" s="285" t="str">
        <f t="shared" si="101"/>
        <v>E3.P_A.MR1</v>
      </c>
      <c r="L154" s="408" t="s">
        <v>356</v>
      </c>
      <c r="M154" s="409" t="s">
        <v>995</v>
      </c>
      <c r="N154" s="491">
        <v>87</v>
      </c>
      <c r="O154" s="10">
        <v>114</v>
      </c>
      <c r="P154" s="480" t="s">
        <v>142</v>
      </c>
      <c r="Q154" s="492" t="str">
        <f t="shared" si="102"/>
        <v>E3.P_A.MR1-MP07-1</v>
      </c>
      <c r="R154" s="420" t="s">
        <v>1021</v>
      </c>
      <c r="S154" s="649" t="s">
        <v>1010</v>
      </c>
      <c r="T154" s="650">
        <v>0.6</v>
      </c>
      <c r="U154" s="381">
        <v>1</v>
      </c>
      <c r="V154" s="380" t="s">
        <v>67</v>
      </c>
      <c r="W154" s="315">
        <v>0.5</v>
      </c>
      <c r="X154" s="330">
        <v>0.5</v>
      </c>
      <c r="Y154" s="295">
        <v>0</v>
      </c>
      <c r="Z154" s="297">
        <v>0</v>
      </c>
      <c r="AA154" s="382"/>
      <c r="AB154" s="383"/>
      <c r="AC154" s="383"/>
      <c r="AD154" s="383"/>
      <c r="AE154" s="383"/>
      <c r="AF154" s="383"/>
      <c r="AG154" s="383"/>
      <c r="AH154" s="383"/>
      <c r="AI154" s="383"/>
      <c r="AJ154" s="383"/>
      <c r="AK154" s="383"/>
      <c r="AL154" s="383"/>
      <c r="AM154" s="383"/>
      <c r="AN154" s="383"/>
      <c r="AO154" s="383"/>
      <c r="AP154" s="383"/>
      <c r="AQ154" s="383"/>
      <c r="AR154" s="383"/>
      <c r="AS154" s="383"/>
      <c r="AT154" s="383"/>
      <c r="AU154" s="383"/>
      <c r="AV154" s="383"/>
      <c r="AW154" s="383"/>
      <c r="AX154" s="383"/>
      <c r="AY154" s="383"/>
      <c r="AZ154" s="383"/>
      <c r="BA154" s="383"/>
      <c r="BB154" s="383"/>
      <c r="BC154" s="384"/>
      <c r="BD154" s="301"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8" t="s">
        <v>1021</v>
      </c>
      <c r="EN154" s="274" t="s">
        <v>1010</v>
      </c>
      <c r="EO154" s="651">
        <v>0.6</v>
      </c>
      <c r="EP154" s="385">
        <v>1</v>
      </c>
      <c r="EQ154" s="276">
        <v>0.5</v>
      </c>
      <c r="ER154" s="839">
        <v>0.4</v>
      </c>
      <c r="ES154" s="839">
        <v>0.1</v>
      </c>
      <c r="ET154" s="826">
        <v>0</v>
      </c>
    </row>
    <row r="155" spans="1:150" ht="53.25" customHeight="1" x14ac:dyDescent="0.2">
      <c r="A155" s="277" t="s">
        <v>90</v>
      </c>
      <c r="B155" s="428" t="s">
        <v>91</v>
      </c>
      <c r="C155" s="429" t="s">
        <v>992</v>
      </c>
      <c r="D155" s="429"/>
      <c r="E155" s="8" t="s">
        <v>57</v>
      </c>
      <c r="F155" s="647" t="str">
        <f t="shared" si="100"/>
        <v>E3.P_A</v>
      </c>
      <c r="G155" s="409" t="s">
        <v>250</v>
      </c>
      <c r="H155" s="648" t="s">
        <v>386</v>
      </c>
      <c r="I155" s="442"/>
      <c r="J155" s="284" t="s">
        <v>61</v>
      </c>
      <c r="K155" s="285" t="str">
        <f t="shared" si="101"/>
        <v>E3.P_A.MR1</v>
      </c>
      <c r="L155" s="408" t="s">
        <v>356</v>
      </c>
      <c r="M155" s="409" t="s">
        <v>995</v>
      </c>
      <c r="N155" s="491">
        <v>87</v>
      </c>
      <c r="O155" s="10">
        <v>114</v>
      </c>
      <c r="P155" s="480" t="s">
        <v>156</v>
      </c>
      <c r="Q155" s="492" t="str">
        <f t="shared" si="102"/>
        <v>E3.P_A.MR1-MP08-1</v>
      </c>
      <c r="R155" s="420" t="s">
        <v>1024</v>
      </c>
      <c r="S155" s="649" t="s">
        <v>1018</v>
      </c>
      <c r="T155" s="380">
        <v>1</v>
      </c>
      <c r="U155" s="381">
        <v>1</v>
      </c>
      <c r="V155" s="380" t="s">
        <v>102</v>
      </c>
      <c r="W155" s="295">
        <v>0</v>
      </c>
      <c r="X155" s="296">
        <v>0</v>
      </c>
      <c r="Y155" s="315">
        <v>0.5</v>
      </c>
      <c r="Z155" s="316">
        <v>0.5</v>
      </c>
      <c r="AA155" s="382"/>
      <c r="AB155" s="383"/>
      <c r="AC155" s="383"/>
      <c r="AD155" s="383"/>
      <c r="AE155" s="383"/>
      <c r="AF155" s="383"/>
      <c r="AG155" s="383"/>
      <c r="AH155" s="383"/>
      <c r="AI155" s="383"/>
      <c r="AJ155" s="383"/>
      <c r="AK155" s="383"/>
      <c r="AL155" s="383"/>
      <c r="AM155" s="383"/>
      <c r="AN155" s="383"/>
      <c r="AO155" s="383"/>
      <c r="AP155" s="383"/>
      <c r="AQ155" s="383"/>
      <c r="AR155" s="383"/>
      <c r="AS155" s="383"/>
      <c r="AT155" s="383"/>
      <c r="AU155" s="383"/>
      <c r="AV155" s="383"/>
      <c r="AW155" s="383"/>
      <c r="AX155" s="383"/>
      <c r="AY155" s="383"/>
      <c r="AZ155" s="383"/>
      <c r="BA155" s="383"/>
      <c r="BB155" s="383"/>
      <c r="BC155" s="384"/>
      <c r="BD155" s="301"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8" t="s">
        <v>1024</v>
      </c>
      <c r="EN155" s="274" t="s">
        <v>1018</v>
      </c>
      <c r="EO155" s="385">
        <v>1</v>
      </c>
      <c r="EP155" s="385">
        <v>1</v>
      </c>
      <c r="EQ155" s="275">
        <v>0</v>
      </c>
      <c r="ER155" s="840">
        <v>0</v>
      </c>
      <c r="ES155" s="839">
        <v>0.5</v>
      </c>
      <c r="ET155" s="842">
        <v>0.5</v>
      </c>
    </row>
    <row r="156" spans="1:150" ht="42" customHeight="1" x14ac:dyDescent="0.2">
      <c r="A156" s="277" t="s">
        <v>90</v>
      </c>
      <c r="B156" s="428" t="s">
        <v>91</v>
      </c>
      <c r="C156" s="429" t="s">
        <v>992</v>
      </c>
      <c r="D156" s="429"/>
      <c r="E156" s="8" t="s">
        <v>57</v>
      </c>
      <c r="F156" s="647" t="str">
        <f t="shared" si="100"/>
        <v>E3.P_A</v>
      </c>
      <c r="G156" s="409" t="s">
        <v>250</v>
      </c>
      <c r="H156" s="648" t="s">
        <v>386</v>
      </c>
      <c r="I156" s="442"/>
      <c r="J156" s="284" t="s">
        <v>61</v>
      </c>
      <c r="K156" s="285" t="str">
        <f t="shared" si="101"/>
        <v>E3.P_A.MR1</v>
      </c>
      <c r="L156" s="408" t="s">
        <v>356</v>
      </c>
      <c r="M156" s="409" t="s">
        <v>995</v>
      </c>
      <c r="N156" s="491">
        <v>87</v>
      </c>
      <c r="O156" s="10">
        <v>114</v>
      </c>
      <c r="P156" s="480" t="s">
        <v>515</v>
      </c>
      <c r="Q156" s="492" t="str">
        <f t="shared" si="102"/>
        <v>E3.P_A.MR1-MP09-1</v>
      </c>
      <c r="R156" s="420" t="s">
        <v>1027</v>
      </c>
      <c r="S156" s="649" t="s">
        <v>1010</v>
      </c>
      <c r="T156" s="380">
        <v>1</v>
      </c>
      <c r="U156" s="381">
        <v>2</v>
      </c>
      <c r="V156" s="380" t="s">
        <v>67</v>
      </c>
      <c r="W156" s="315">
        <v>0.4</v>
      </c>
      <c r="X156" s="330">
        <v>0.2</v>
      </c>
      <c r="Y156" s="315">
        <v>0.7</v>
      </c>
      <c r="Z156" s="316">
        <v>0.7</v>
      </c>
      <c r="AA156" s="382"/>
      <c r="AB156" s="383"/>
      <c r="AC156" s="383"/>
      <c r="AD156" s="383"/>
      <c r="AE156" s="383"/>
      <c r="AF156" s="383"/>
      <c r="AG156" s="383"/>
      <c r="AH156" s="383"/>
      <c r="AI156" s="383"/>
      <c r="AJ156" s="383"/>
      <c r="AK156" s="383"/>
      <c r="AL156" s="383"/>
      <c r="AM156" s="383"/>
      <c r="AN156" s="383"/>
      <c r="AO156" s="383"/>
      <c r="AP156" s="383"/>
      <c r="AQ156" s="383"/>
      <c r="AR156" s="383"/>
      <c r="AS156" s="383"/>
      <c r="AT156" s="383"/>
      <c r="AU156" s="383"/>
      <c r="AV156" s="383"/>
      <c r="AW156" s="383"/>
      <c r="AX156" s="383"/>
      <c r="AY156" s="383"/>
      <c r="AZ156" s="383"/>
      <c r="BA156" s="383"/>
      <c r="BB156" s="383"/>
      <c r="BC156" s="384"/>
      <c r="BD156" s="301"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8" t="s">
        <v>1027</v>
      </c>
      <c r="EN156" s="274" t="s">
        <v>1010</v>
      </c>
      <c r="EO156" s="385">
        <v>1</v>
      </c>
      <c r="EP156" s="385">
        <v>2</v>
      </c>
      <c r="EQ156" s="276">
        <v>0.4</v>
      </c>
      <c r="ER156" s="843">
        <v>0.08</v>
      </c>
      <c r="ES156" s="843">
        <v>0.6</v>
      </c>
      <c r="ET156" s="844">
        <v>0.92</v>
      </c>
    </row>
    <row r="157" spans="1:150" ht="57.75" customHeight="1" x14ac:dyDescent="0.2">
      <c r="A157" s="277" t="s">
        <v>90</v>
      </c>
      <c r="B157" s="428" t="s">
        <v>91</v>
      </c>
      <c r="C157" s="429" t="s">
        <v>992</v>
      </c>
      <c r="D157" s="429"/>
      <c r="E157" s="8" t="s">
        <v>57</v>
      </c>
      <c r="F157" s="647" t="str">
        <f t="shared" si="100"/>
        <v>E3.P_A</v>
      </c>
      <c r="G157" s="409" t="s">
        <v>250</v>
      </c>
      <c r="H157" s="648" t="s">
        <v>386</v>
      </c>
      <c r="I157" s="442"/>
      <c r="J157" s="284" t="s">
        <v>61</v>
      </c>
      <c r="K157" s="285" t="str">
        <f t="shared" si="101"/>
        <v>E3.P_A.MR1</v>
      </c>
      <c r="L157" s="408" t="s">
        <v>356</v>
      </c>
      <c r="M157" s="409" t="s">
        <v>995</v>
      </c>
      <c r="N157" s="491">
        <v>87</v>
      </c>
      <c r="O157" s="10">
        <v>114</v>
      </c>
      <c r="P157" s="480" t="s">
        <v>522</v>
      </c>
      <c r="Q157" s="492" t="str">
        <f t="shared" si="102"/>
        <v>E3.P_A.MR1-MP10-1</v>
      </c>
      <c r="R157" s="420" t="s">
        <v>1030</v>
      </c>
      <c r="S157" s="649" t="s">
        <v>1018</v>
      </c>
      <c r="T157" s="380">
        <v>3</v>
      </c>
      <c r="U157" s="381">
        <v>3</v>
      </c>
      <c r="V157" s="380" t="s">
        <v>102</v>
      </c>
      <c r="W157" s="315">
        <v>0.2</v>
      </c>
      <c r="X157" s="330">
        <v>0.8</v>
      </c>
      <c r="Y157" s="295">
        <v>1</v>
      </c>
      <c r="Z157" s="297">
        <v>1</v>
      </c>
      <c r="AA157" s="382"/>
      <c r="AB157" s="383"/>
      <c r="AC157" s="383"/>
      <c r="AD157" s="383"/>
      <c r="AE157" s="383"/>
      <c r="AF157" s="383"/>
      <c r="AG157" s="383"/>
      <c r="AH157" s="383"/>
      <c r="AI157" s="383"/>
      <c r="AJ157" s="383"/>
      <c r="AK157" s="383"/>
      <c r="AL157" s="383"/>
      <c r="AM157" s="383"/>
      <c r="AN157" s="383"/>
      <c r="AO157" s="383"/>
      <c r="AP157" s="383"/>
      <c r="AQ157" s="383"/>
      <c r="AR157" s="383"/>
      <c r="AS157" s="383"/>
      <c r="AT157" s="383"/>
      <c r="AU157" s="383"/>
      <c r="AV157" s="383"/>
      <c r="AW157" s="383"/>
      <c r="AX157" s="383"/>
      <c r="AY157" s="383"/>
      <c r="AZ157" s="383"/>
      <c r="BA157" s="383"/>
      <c r="BB157" s="383"/>
      <c r="BC157" s="384"/>
      <c r="BD157" s="301"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8" t="s">
        <v>1030</v>
      </c>
      <c r="EN157" s="274" t="s">
        <v>1018</v>
      </c>
      <c r="EO157" s="385">
        <v>3</v>
      </c>
      <c r="EP157" s="385">
        <v>3</v>
      </c>
      <c r="EQ157" s="276">
        <v>2</v>
      </c>
      <c r="ER157" s="840">
        <v>1</v>
      </c>
      <c r="ES157" s="840">
        <v>1</v>
      </c>
      <c r="ET157" s="841">
        <v>1</v>
      </c>
    </row>
    <row r="158" spans="1:150" ht="56.25" customHeight="1" x14ac:dyDescent="0.2">
      <c r="A158" s="277" t="s">
        <v>90</v>
      </c>
      <c r="B158" s="428" t="s">
        <v>91</v>
      </c>
      <c r="C158" s="429" t="s">
        <v>992</v>
      </c>
      <c r="D158" s="429"/>
      <c r="E158" s="8" t="s">
        <v>57</v>
      </c>
      <c r="F158" s="647" t="str">
        <f t="shared" si="100"/>
        <v>E3.P_A</v>
      </c>
      <c r="G158" s="409" t="s">
        <v>250</v>
      </c>
      <c r="H158" s="648" t="s">
        <v>386</v>
      </c>
      <c r="I158" s="442"/>
      <c r="J158" s="284" t="s">
        <v>61</v>
      </c>
      <c r="K158" s="285" t="str">
        <f t="shared" si="101"/>
        <v>E3.P_A.MR1</v>
      </c>
      <c r="L158" s="408" t="s">
        <v>356</v>
      </c>
      <c r="M158" s="409" t="s">
        <v>995</v>
      </c>
      <c r="N158" s="491">
        <v>87</v>
      </c>
      <c r="O158" s="10">
        <v>114</v>
      </c>
      <c r="P158" s="480" t="s">
        <v>610</v>
      </c>
      <c r="Q158" s="492" t="str">
        <f t="shared" si="102"/>
        <v>E3.P_A.MR1-MP11-1</v>
      </c>
      <c r="R158" s="420" t="s">
        <v>1033</v>
      </c>
      <c r="S158" s="649" t="s">
        <v>1010</v>
      </c>
      <c r="T158" s="380">
        <v>2</v>
      </c>
      <c r="U158" s="381">
        <v>6</v>
      </c>
      <c r="V158" s="380" t="s">
        <v>67</v>
      </c>
      <c r="W158" s="295">
        <v>1</v>
      </c>
      <c r="X158" s="296">
        <v>2</v>
      </c>
      <c r="Y158" s="295">
        <v>1</v>
      </c>
      <c r="Z158" s="297">
        <v>0</v>
      </c>
      <c r="AA158" s="382"/>
      <c r="AB158" s="383"/>
      <c r="AC158" s="383"/>
      <c r="AD158" s="383"/>
      <c r="AE158" s="383"/>
      <c r="AF158" s="383"/>
      <c r="AG158" s="383"/>
      <c r="AH158" s="383"/>
      <c r="AI158" s="383"/>
      <c r="AJ158" s="383"/>
      <c r="AK158" s="383"/>
      <c r="AL158" s="383"/>
      <c r="AM158" s="383"/>
      <c r="AN158" s="383"/>
      <c r="AO158" s="383"/>
      <c r="AP158" s="383"/>
      <c r="AQ158" s="383"/>
      <c r="AR158" s="383"/>
      <c r="AS158" s="383"/>
      <c r="AT158" s="383"/>
      <c r="AU158" s="383"/>
      <c r="AV158" s="383"/>
      <c r="AW158" s="383"/>
      <c r="AX158" s="383"/>
      <c r="AY158" s="383"/>
      <c r="AZ158" s="383"/>
      <c r="BA158" s="383"/>
      <c r="BB158" s="383"/>
      <c r="BC158" s="384"/>
      <c r="BD158" s="301"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8" t="s">
        <v>1033</v>
      </c>
      <c r="EN158" s="274" t="s">
        <v>1010</v>
      </c>
      <c r="EO158" s="837">
        <v>2</v>
      </c>
      <c r="EP158" s="837">
        <v>6</v>
      </c>
      <c r="EQ158" s="806">
        <v>1</v>
      </c>
      <c r="ER158" s="840">
        <v>1</v>
      </c>
      <c r="ES158" s="840">
        <v>2</v>
      </c>
      <c r="ET158" s="836">
        <v>0</v>
      </c>
    </row>
    <row r="159" spans="1:150" ht="54.75" customHeight="1" x14ac:dyDescent="0.2">
      <c r="A159" s="277" t="s">
        <v>90</v>
      </c>
      <c r="B159" s="428" t="s">
        <v>91</v>
      </c>
      <c r="C159" s="429" t="s">
        <v>992</v>
      </c>
      <c r="D159" s="429"/>
      <c r="E159" s="8" t="s">
        <v>57</v>
      </c>
      <c r="F159" s="647" t="str">
        <f t="shared" si="100"/>
        <v>E3.P_A</v>
      </c>
      <c r="G159" s="409" t="s">
        <v>250</v>
      </c>
      <c r="H159" s="648" t="s">
        <v>386</v>
      </c>
      <c r="I159" s="442"/>
      <c r="J159" s="284" t="s">
        <v>61</v>
      </c>
      <c r="K159" s="285" t="str">
        <f t="shared" si="101"/>
        <v>E3.P_A.MR1</v>
      </c>
      <c r="L159" s="408" t="s">
        <v>356</v>
      </c>
      <c r="M159" s="409" t="s">
        <v>995</v>
      </c>
      <c r="N159" s="491">
        <v>87</v>
      </c>
      <c r="O159" s="10">
        <v>114</v>
      </c>
      <c r="P159" s="480" t="s">
        <v>615</v>
      </c>
      <c r="Q159" s="492" t="str">
        <f t="shared" si="102"/>
        <v>E3.P_A.MR1-MP12-1</v>
      </c>
      <c r="R159" s="420" t="s">
        <v>1036</v>
      </c>
      <c r="S159" s="649" t="s">
        <v>1018</v>
      </c>
      <c r="T159" s="380">
        <v>6</v>
      </c>
      <c r="U159" s="381">
        <v>7</v>
      </c>
      <c r="V159" s="380" t="s">
        <v>67</v>
      </c>
      <c r="W159" s="315">
        <v>0.2</v>
      </c>
      <c r="X159" s="330">
        <v>1.8</v>
      </c>
      <c r="Y159" s="295">
        <v>3</v>
      </c>
      <c r="Z159" s="297">
        <v>2</v>
      </c>
      <c r="AA159" s="382"/>
      <c r="AB159" s="383"/>
      <c r="AC159" s="383"/>
      <c r="AD159" s="383"/>
      <c r="AE159" s="383"/>
      <c r="AF159" s="383"/>
      <c r="AG159" s="383"/>
      <c r="AH159" s="383"/>
      <c r="AI159" s="383"/>
      <c r="AJ159" s="383"/>
      <c r="AK159" s="383"/>
      <c r="AL159" s="383"/>
      <c r="AM159" s="383"/>
      <c r="AN159" s="383"/>
      <c r="AO159" s="383"/>
      <c r="AP159" s="383"/>
      <c r="AQ159" s="383"/>
      <c r="AR159" s="383"/>
      <c r="AS159" s="383"/>
      <c r="AT159" s="383"/>
      <c r="AU159" s="383"/>
      <c r="AV159" s="383"/>
      <c r="AW159" s="383"/>
      <c r="AX159" s="383"/>
      <c r="AY159" s="383"/>
      <c r="AZ159" s="383"/>
      <c r="BA159" s="383"/>
      <c r="BB159" s="383"/>
      <c r="BC159" s="384"/>
      <c r="BD159" s="301"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8" t="s">
        <v>1036</v>
      </c>
      <c r="EN159" s="274" t="s">
        <v>1018</v>
      </c>
      <c r="EO159" s="385">
        <v>6</v>
      </c>
      <c r="EP159" s="385">
        <v>7</v>
      </c>
      <c r="EQ159" s="276">
        <v>0.2</v>
      </c>
      <c r="ER159" s="839">
        <v>0.4</v>
      </c>
      <c r="ES159" s="839">
        <v>0.4</v>
      </c>
      <c r="ET159" s="841">
        <v>0</v>
      </c>
    </row>
    <row r="160" spans="1:150" ht="74.25" customHeight="1" x14ac:dyDescent="0.2">
      <c r="A160" s="277" t="s">
        <v>90</v>
      </c>
      <c r="B160" s="428" t="s">
        <v>91</v>
      </c>
      <c r="C160" s="429" t="s">
        <v>992</v>
      </c>
      <c r="D160" s="429"/>
      <c r="E160" s="8" t="s">
        <v>57</v>
      </c>
      <c r="F160" s="647" t="str">
        <f t="shared" si="100"/>
        <v>E3.P_A</v>
      </c>
      <c r="G160" s="409" t="s">
        <v>250</v>
      </c>
      <c r="H160" s="648" t="s">
        <v>386</v>
      </c>
      <c r="I160" s="442"/>
      <c r="J160" s="284" t="s">
        <v>61</v>
      </c>
      <c r="K160" s="285" t="str">
        <f t="shared" si="101"/>
        <v>E3.P_A.MR1</v>
      </c>
      <c r="L160" s="408" t="s">
        <v>356</v>
      </c>
      <c r="M160" s="409" t="s">
        <v>995</v>
      </c>
      <c r="N160" s="491">
        <v>87</v>
      </c>
      <c r="O160" s="10">
        <v>114</v>
      </c>
      <c r="P160" s="480" t="s">
        <v>620</v>
      </c>
      <c r="Q160" s="492" t="str">
        <f t="shared" si="102"/>
        <v>E3.P_A.MR1-MP13-1</v>
      </c>
      <c r="R160" s="420" t="s">
        <v>1039</v>
      </c>
      <c r="S160" s="649" t="s">
        <v>1010</v>
      </c>
      <c r="T160" s="380">
        <v>0</v>
      </c>
      <c r="U160" s="381">
        <v>1</v>
      </c>
      <c r="V160" s="380" t="s">
        <v>67</v>
      </c>
      <c r="W160" s="295">
        <v>0</v>
      </c>
      <c r="X160" s="296">
        <v>1</v>
      </c>
      <c r="Y160" s="295">
        <v>0</v>
      </c>
      <c r="Z160" s="297">
        <v>0</v>
      </c>
      <c r="AA160" s="382"/>
      <c r="AB160" s="383"/>
      <c r="AC160" s="383"/>
      <c r="AD160" s="383"/>
      <c r="AE160" s="383"/>
      <c r="AF160" s="383"/>
      <c r="AG160" s="383"/>
      <c r="AH160" s="383"/>
      <c r="AI160" s="383"/>
      <c r="AJ160" s="383"/>
      <c r="AK160" s="383"/>
      <c r="AL160" s="383"/>
      <c r="AM160" s="383"/>
      <c r="AN160" s="383"/>
      <c r="AO160" s="383"/>
      <c r="AP160" s="383"/>
      <c r="AQ160" s="383"/>
      <c r="AR160" s="383"/>
      <c r="AS160" s="383"/>
      <c r="AT160" s="383"/>
      <c r="AU160" s="383"/>
      <c r="AV160" s="383"/>
      <c r="AW160" s="383"/>
      <c r="AX160" s="383"/>
      <c r="AY160" s="383"/>
      <c r="AZ160" s="383"/>
      <c r="BA160" s="383"/>
      <c r="BB160" s="383"/>
      <c r="BC160" s="384"/>
      <c r="BD160" s="301"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8" t="s">
        <v>1039</v>
      </c>
      <c r="EN160" s="274" t="s">
        <v>1010</v>
      </c>
      <c r="EO160" s="385">
        <v>0</v>
      </c>
      <c r="EP160" s="385">
        <v>1</v>
      </c>
      <c r="EQ160" s="275">
        <v>0</v>
      </c>
      <c r="ER160" s="839">
        <v>0.7</v>
      </c>
      <c r="ES160" s="839">
        <v>0.3</v>
      </c>
      <c r="ET160" s="826">
        <v>0</v>
      </c>
    </row>
    <row r="161" spans="1:152" ht="66.75" customHeight="1" x14ac:dyDescent="0.2">
      <c r="A161" s="277" t="s">
        <v>90</v>
      </c>
      <c r="B161" s="428" t="s">
        <v>91</v>
      </c>
      <c r="C161" s="429" t="s">
        <v>992</v>
      </c>
      <c r="D161" s="429"/>
      <c r="E161" s="8" t="s">
        <v>57</v>
      </c>
      <c r="F161" s="647" t="str">
        <f t="shared" si="100"/>
        <v>E3.P_A</v>
      </c>
      <c r="G161" s="409" t="s">
        <v>250</v>
      </c>
      <c r="H161" s="648" t="s">
        <v>386</v>
      </c>
      <c r="I161" s="442"/>
      <c r="J161" s="284" t="s">
        <v>61</v>
      </c>
      <c r="K161" s="285" t="str">
        <f t="shared" si="101"/>
        <v>E3.P_A.MR1</v>
      </c>
      <c r="L161" s="408" t="s">
        <v>356</v>
      </c>
      <c r="M161" s="409" t="s">
        <v>995</v>
      </c>
      <c r="N161" s="491">
        <v>87</v>
      </c>
      <c r="O161" s="10">
        <v>114</v>
      </c>
      <c r="P161" s="480" t="s">
        <v>625</v>
      </c>
      <c r="Q161" s="492" t="str">
        <f t="shared" si="102"/>
        <v>E3.P_A.MR1-MP14-1</v>
      </c>
      <c r="R161" s="420" t="s">
        <v>1042</v>
      </c>
      <c r="S161" s="649" t="s">
        <v>1018</v>
      </c>
      <c r="T161" s="380">
        <v>1</v>
      </c>
      <c r="U161" s="381">
        <v>1</v>
      </c>
      <c r="V161" s="380" t="s">
        <v>102</v>
      </c>
      <c r="W161" s="295">
        <v>0</v>
      </c>
      <c r="X161" s="296">
        <v>0</v>
      </c>
      <c r="Y161" s="295">
        <v>0</v>
      </c>
      <c r="Z161" s="297">
        <v>1</v>
      </c>
      <c r="AA161" s="382"/>
      <c r="AB161" s="383"/>
      <c r="AC161" s="383"/>
      <c r="AD161" s="383"/>
      <c r="AE161" s="383"/>
      <c r="AF161" s="383"/>
      <c r="AG161" s="383"/>
      <c r="AH161" s="383"/>
      <c r="AI161" s="383"/>
      <c r="AJ161" s="383"/>
      <c r="AK161" s="383"/>
      <c r="AL161" s="383"/>
      <c r="AM161" s="383"/>
      <c r="AN161" s="383"/>
      <c r="AO161" s="383"/>
      <c r="AP161" s="383"/>
      <c r="AQ161" s="383"/>
      <c r="AR161" s="383"/>
      <c r="AS161" s="383"/>
      <c r="AT161" s="383"/>
      <c r="AU161" s="383"/>
      <c r="AV161" s="383"/>
      <c r="AW161" s="383"/>
      <c r="AX161" s="383"/>
      <c r="AY161" s="383"/>
      <c r="AZ161" s="383"/>
      <c r="BA161" s="383"/>
      <c r="BB161" s="383"/>
      <c r="BC161" s="384"/>
      <c r="BD161" s="301"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8" t="s">
        <v>1042</v>
      </c>
      <c r="EN161" s="274" t="s">
        <v>1018</v>
      </c>
      <c r="EO161" s="385">
        <v>1</v>
      </c>
      <c r="EP161" s="385">
        <v>1</v>
      </c>
      <c r="EQ161" s="275">
        <v>0</v>
      </c>
      <c r="ER161" s="275">
        <v>0</v>
      </c>
      <c r="ES161" s="275">
        <v>0</v>
      </c>
      <c r="ET161" s="826">
        <v>1</v>
      </c>
    </row>
    <row r="162" spans="1:152" ht="59.25" customHeight="1" x14ac:dyDescent="0.2">
      <c r="A162" s="277" t="s">
        <v>90</v>
      </c>
      <c r="B162" s="428" t="s">
        <v>91</v>
      </c>
      <c r="C162" s="429" t="s">
        <v>992</v>
      </c>
      <c r="D162" s="429"/>
      <c r="E162" s="8" t="s">
        <v>57</v>
      </c>
      <c r="F162" s="647" t="str">
        <f t="shared" si="100"/>
        <v>E3.P_A</v>
      </c>
      <c r="G162" s="409" t="s">
        <v>250</v>
      </c>
      <c r="H162" s="648" t="s">
        <v>386</v>
      </c>
      <c r="I162" s="442"/>
      <c r="J162" s="284" t="s">
        <v>61</v>
      </c>
      <c r="K162" s="285" t="str">
        <f t="shared" si="101"/>
        <v>E3.P_A.MR1</v>
      </c>
      <c r="L162" s="408" t="s">
        <v>356</v>
      </c>
      <c r="M162" s="409" t="s">
        <v>995</v>
      </c>
      <c r="N162" s="491">
        <v>87</v>
      </c>
      <c r="O162" s="10">
        <v>114</v>
      </c>
      <c r="P162" s="480" t="s">
        <v>1045</v>
      </c>
      <c r="Q162" s="492" t="str">
        <f t="shared" si="102"/>
        <v>E3.P_A.MR1-MP15-1</v>
      </c>
      <c r="R162" s="420" t="s">
        <v>1046</v>
      </c>
      <c r="S162" s="649" t="s">
        <v>1010</v>
      </c>
      <c r="T162" s="380">
        <v>0</v>
      </c>
      <c r="U162" s="381">
        <v>3</v>
      </c>
      <c r="V162" s="380" t="s">
        <v>67</v>
      </c>
      <c r="W162" s="315">
        <v>0.5</v>
      </c>
      <c r="X162" s="330">
        <v>1.5</v>
      </c>
      <c r="Y162" s="295">
        <v>1</v>
      </c>
      <c r="Z162" s="297">
        <v>0</v>
      </c>
      <c r="AA162" s="382"/>
      <c r="AB162" s="383"/>
      <c r="AC162" s="383"/>
      <c r="AD162" s="383"/>
      <c r="AE162" s="383"/>
      <c r="AF162" s="383"/>
      <c r="AG162" s="383"/>
      <c r="AH162" s="383"/>
      <c r="AI162" s="383"/>
      <c r="AJ162" s="383"/>
      <c r="AK162" s="383"/>
      <c r="AL162" s="383"/>
      <c r="AM162" s="383"/>
      <c r="AN162" s="383"/>
      <c r="AO162" s="383"/>
      <c r="AP162" s="383"/>
      <c r="AQ162" s="383"/>
      <c r="AR162" s="383"/>
      <c r="AS162" s="383"/>
      <c r="AT162" s="383"/>
      <c r="AU162" s="383"/>
      <c r="AV162" s="383"/>
      <c r="AW162" s="383"/>
      <c r="AX162" s="383"/>
      <c r="AY162" s="383"/>
      <c r="AZ162" s="383"/>
      <c r="BA162" s="383"/>
      <c r="BB162" s="383"/>
      <c r="BC162" s="384"/>
      <c r="BD162" s="301"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8" t="s">
        <v>1046</v>
      </c>
      <c r="EN162" s="274" t="s">
        <v>1010</v>
      </c>
      <c r="EO162" s="385">
        <v>0</v>
      </c>
      <c r="EP162" s="385">
        <v>3</v>
      </c>
      <c r="EQ162" s="276">
        <v>0.5</v>
      </c>
      <c r="ER162" s="839">
        <v>0.5</v>
      </c>
      <c r="ES162" s="275">
        <v>1</v>
      </c>
      <c r="ET162" s="841">
        <v>1</v>
      </c>
    </row>
    <row r="163" spans="1:152" ht="60.75" customHeight="1" x14ac:dyDescent="0.2">
      <c r="A163" s="277" t="s">
        <v>90</v>
      </c>
      <c r="B163" s="428" t="s">
        <v>91</v>
      </c>
      <c r="C163" s="429" t="s">
        <v>992</v>
      </c>
      <c r="D163" s="429"/>
      <c r="E163" s="8" t="s">
        <v>57</v>
      </c>
      <c r="F163" s="647" t="str">
        <f t="shared" si="100"/>
        <v>E3.P_A</v>
      </c>
      <c r="G163" s="409" t="s">
        <v>250</v>
      </c>
      <c r="H163" s="648" t="s">
        <v>386</v>
      </c>
      <c r="I163" s="442"/>
      <c r="J163" s="284" t="s">
        <v>61</v>
      </c>
      <c r="K163" s="285" t="str">
        <f t="shared" si="101"/>
        <v>E3.P_A.MR1</v>
      </c>
      <c r="L163" s="408" t="s">
        <v>356</v>
      </c>
      <c r="M163" s="409" t="s">
        <v>995</v>
      </c>
      <c r="N163" s="491">
        <v>87</v>
      </c>
      <c r="O163" s="10">
        <v>114</v>
      </c>
      <c r="P163" s="480" t="s">
        <v>635</v>
      </c>
      <c r="Q163" s="492" t="str">
        <f t="shared" si="102"/>
        <v>E3.P_A.MR1-MP16-1</v>
      </c>
      <c r="R163" s="420" t="s">
        <v>1049</v>
      </c>
      <c r="S163" s="649" t="s">
        <v>1018</v>
      </c>
      <c r="T163" s="380">
        <v>19</v>
      </c>
      <c r="U163" s="381">
        <v>22</v>
      </c>
      <c r="V163" s="380" t="s">
        <v>67</v>
      </c>
      <c r="W163" s="295">
        <v>4</v>
      </c>
      <c r="X163" s="296">
        <v>10</v>
      </c>
      <c r="Y163" s="295">
        <v>4</v>
      </c>
      <c r="Z163" s="297">
        <v>4</v>
      </c>
      <c r="AA163" s="382"/>
      <c r="AB163" s="383"/>
      <c r="AC163" s="383"/>
      <c r="AD163" s="383"/>
      <c r="AE163" s="383"/>
      <c r="AF163" s="383"/>
      <c r="AG163" s="383"/>
      <c r="AH163" s="383"/>
      <c r="AI163" s="383"/>
      <c r="AJ163" s="383"/>
      <c r="AK163" s="383"/>
      <c r="AL163" s="383"/>
      <c r="AM163" s="383"/>
      <c r="AN163" s="383"/>
      <c r="AO163" s="383"/>
      <c r="AP163" s="383"/>
      <c r="AQ163" s="383"/>
      <c r="AR163" s="383"/>
      <c r="AS163" s="383"/>
      <c r="AT163" s="383"/>
      <c r="AU163" s="383"/>
      <c r="AV163" s="383"/>
      <c r="AW163" s="383"/>
      <c r="AX163" s="383"/>
      <c r="AY163" s="383"/>
      <c r="AZ163" s="383"/>
      <c r="BA163" s="383"/>
      <c r="BB163" s="383"/>
      <c r="BC163" s="384"/>
      <c r="BD163" s="301"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8" t="s">
        <v>1049</v>
      </c>
      <c r="EN163" s="274" t="s">
        <v>1018</v>
      </c>
      <c r="EO163" s="385">
        <v>19</v>
      </c>
      <c r="EP163" s="385">
        <v>22</v>
      </c>
      <c r="EQ163" s="275">
        <v>4</v>
      </c>
      <c r="ER163" s="840">
        <v>6</v>
      </c>
      <c r="ES163" s="840">
        <v>8</v>
      </c>
      <c r="ET163" s="826">
        <v>4</v>
      </c>
    </row>
    <row r="164" spans="1:152" ht="86.25" customHeight="1" x14ac:dyDescent="0.2">
      <c r="A164" s="277" t="s">
        <v>90</v>
      </c>
      <c r="B164" s="428" t="s">
        <v>91</v>
      </c>
      <c r="C164" s="429" t="s">
        <v>992</v>
      </c>
      <c r="D164" s="429"/>
      <c r="E164" s="8" t="s">
        <v>57</v>
      </c>
      <c r="F164" s="647" t="str">
        <f t="shared" si="100"/>
        <v>E3.P_A</v>
      </c>
      <c r="G164" s="409" t="s">
        <v>250</v>
      </c>
      <c r="H164" s="648" t="s">
        <v>386</v>
      </c>
      <c r="I164" s="442"/>
      <c r="J164" s="284" t="s">
        <v>61</v>
      </c>
      <c r="K164" s="285" t="str">
        <f t="shared" si="101"/>
        <v>E3.P_A.MR1</v>
      </c>
      <c r="L164" s="408" t="s">
        <v>356</v>
      </c>
      <c r="M164" s="409" t="s">
        <v>995</v>
      </c>
      <c r="N164" s="491">
        <v>87</v>
      </c>
      <c r="O164" s="10">
        <v>114</v>
      </c>
      <c r="P164" s="480" t="s">
        <v>1052</v>
      </c>
      <c r="Q164" s="492" t="str">
        <f t="shared" si="102"/>
        <v>E3.P_A.MR1-MP17-1</v>
      </c>
      <c r="R164" s="420" t="s">
        <v>1053</v>
      </c>
      <c r="S164" s="649" t="s">
        <v>1054</v>
      </c>
      <c r="T164" s="380">
        <v>0</v>
      </c>
      <c r="U164" s="381">
        <v>1</v>
      </c>
      <c r="V164" s="380" t="s">
        <v>67</v>
      </c>
      <c r="W164" s="315">
        <v>0</v>
      </c>
      <c r="X164" s="330">
        <v>1</v>
      </c>
      <c r="Y164" s="315">
        <v>0</v>
      </c>
      <c r="Z164" s="316">
        <v>0</v>
      </c>
      <c r="AA164" s="382"/>
      <c r="AB164" s="383"/>
      <c r="AC164" s="383"/>
      <c r="AD164" s="383"/>
      <c r="AE164" s="383"/>
      <c r="AF164" s="383"/>
      <c r="AG164" s="383"/>
      <c r="AH164" s="383"/>
      <c r="AI164" s="383"/>
      <c r="AJ164" s="383"/>
      <c r="AK164" s="383"/>
      <c r="AL164" s="383"/>
      <c r="AM164" s="383"/>
      <c r="AN164" s="383"/>
      <c r="AO164" s="383"/>
      <c r="AP164" s="383"/>
      <c r="AQ164" s="383"/>
      <c r="AR164" s="383"/>
      <c r="AS164" s="383"/>
      <c r="AT164" s="383"/>
      <c r="AU164" s="383"/>
      <c r="AV164" s="383"/>
      <c r="AW164" s="383"/>
      <c r="AX164" s="383"/>
      <c r="AY164" s="383"/>
      <c r="AZ164" s="383"/>
      <c r="BA164" s="383"/>
      <c r="BB164" s="383"/>
      <c r="BC164" s="384"/>
      <c r="BD164" s="301"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8" t="s">
        <v>1053</v>
      </c>
      <c r="EN164" s="274" t="s">
        <v>1054</v>
      </c>
      <c r="EO164" s="385">
        <v>0</v>
      </c>
      <c r="EP164" s="385">
        <v>1</v>
      </c>
      <c r="EQ164" s="276">
        <v>0</v>
      </c>
      <c r="ER164" s="839">
        <v>0</v>
      </c>
      <c r="ES164" s="839">
        <v>0.8</v>
      </c>
      <c r="ET164" s="842">
        <v>0.2</v>
      </c>
    </row>
    <row r="165" spans="1:152" ht="177" customHeight="1" x14ac:dyDescent="0.2">
      <c r="A165" s="277" t="s">
        <v>90</v>
      </c>
      <c r="B165" s="428" t="s">
        <v>91</v>
      </c>
      <c r="C165" s="429" t="s">
        <v>992</v>
      </c>
      <c r="D165" s="429"/>
      <c r="E165" s="8" t="s">
        <v>57</v>
      </c>
      <c r="F165" s="647" t="str">
        <f t="shared" si="100"/>
        <v>E3.P_A</v>
      </c>
      <c r="G165" s="409" t="s">
        <v>250</v>
      </c>
      <c r="H165" s="648" t="s">
        <v>386</v>
      </c>
      <c r="I165" s="442"/>
      <c r="J165" s="284" t="s">
        <v>61</v>
      </c>
      <c r="K165" s="285" t="str">
        <f t="shared" si="101"/>
        <v>E3.P_A.MR1</v>
      </c>
      <c r="L165" s="408" t="s">
        <v>356</v>
      </c>
      <c r="M165" s="409" t="s">
        <v>995</v>
      </c>
      <c r="N165" s="491">
        <v>87</v>
      </c>
      <c r="O165" s="10">
        <v>114</v>
      </c>
      <c r="P165" s="480" t="s">
        <v>1057</v>
      </c>
      <c r="Q165" s="492" t="str">
        <f t="shared" si="102"/>
        <v>E3.P_A.MR1-MP18-1</v>
      </c>
      <c r="R165" s="420" t="s">
        <v>65</v>
      </c>
      <c r="S165" s="649" t="s">
        <v>1054</v>
      </c>
      <c r="T165" s="380">
        <v>0</v>
      </c>
      <c r="U165" s="381">
        <v>1</v>
      </c>
      <c r="V165" s="380" t="s">
        <v>67</v>
      </c>
      <c r="W165" s="315">
        <v>0.5</v>
      </c>
      <c r="X165" s="330">
        <v>0.5</v>
      </c>
      <c r="Y165" s="295">
        <v>0</v>
      </c>
      <c r="Z165" s="297">
        <v>0</v>
      </c>
      <c r="AA165" s="382"/>
      <c r="AB165" s="383"/>
      <c r="AC165" s="383"/>
      <c r="AD165" s="383"/>
      <c r="AE165" s="383"/>
      <c r="AF165" s="383"/>
      <c r="AG165" s="383"/>
      <c r="AH165" s="383"/>
      <c r="AI165" s="383"/>
      <c r="AJ165" s="383"/>
      <c r="AK165" s="383"/>
      <c r="AL165" s="383"/>
      <c r="AM165" s="383"/>
      <c r="AN165" s="383"/>
      <c r="AO165" s="383"/>
      <c r="AP165" s="383"/>
      <c r="AQ165" s="383"/>
      <c r="AR165" s="383"/>
      <c r="AS165" s="383"/>
      <c r="AT165" s="383"/>
      <c r="AU165" s="383"/>
      <c r="AV165" s="383"/>
      <c r="AW165" s="383"/>
      <c r="AX165" s="383"/>
      <c r="AY165" s="383"/>
      <c r="AZ165" s="383"/>
      <c r="BA165" s="383"/>
      <c r="BB165" s="383"/>
      <c r="BC165" s="384"/>
      <c r="BD165" s="301"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8" t="s">
        <v>65</v>
      </c>
      <c r="EN165" s="807" t="s">
        <v>1054</v>
      </c>
      <c r="EO165" s="837">
        <v>0</v>
      </c>
      <c r="EP165" s="808">
        <v>0.3</v>
      </c>
      <c r="EQ165" s="805">
        <v>0</v>
      </c>
      <c r="ER165" s="839">
        <v>0</v>
      </c>
      <c r="ES165" s="839">
        <v>0</v>
      </c>
      <c r="ET165" s="842">
        <v>0.3</v>
      </c>
    </row>
    <row r="166" spans="1:152" ht="138.75" customHeight="1" x14ac:dyDescent="0.2">
      <c r="A166" s="277" t="s">
        <v>90</v>
      </c>
      <c r="B166" s="428" t="s">
        <v>91</v>
      </c>
      <c r="C166" s="429" t="s">
        <v>992</v>
      </c>
      <c r="D166" s="429"/>
      <c r="E166" s="8" t="s">
        <v>57</v>
      </c>
      <c r="F166" s="647" t="str">
        <f t="shared" si="100"/>
        <v>E3.P_A</v>
      </c>
      <c r="G166" s="409" t="s">
        <v>250</v>
      </c>
      <c r="H166" s="648" t="s">
        <v>386</v>
      </c>
      <c r="I166" s="442"/>
      <c r="J166" s="284" t="s">
        <v>61</v>
      </c>
      <c r="K166" s="285" t="str">
        <f t="shared" si="101"/>
        <v>E3.P_A.MR1</v>
      </c>
      <c r="L166" s="408" t="s">
        <v>356</v>
      </c>
      <c r="M166" s="409" t="s">
        <v>995</v>
      </c>
      <c r="N166" s="491">
        <v>87</v>
      </c>
      <c r="O166" s="10">
        <v>114</v>
      </c>
      <c r="P166" s="480" t="s">
        <v>1060</v>
      </c>
      <c r="Q166" s="492" t="str">
        <f t="shared" si="102"/>
        <v>E3.P_A.MR1-MP19-1</v>
      </c>
      <c r="R166" s="420" t="s">
        <v>1061</v>
      </c>
      <c r="S166" s="649" t="s">
        <v>1054</v>
      </c>
      <c r="T166" s="380">
        <v>0</v>
      </c>
      <c r="U166" s="381">
        <v>1</v>
      </c>
      <c r="V166" s="380" t="s">
        <v>67</v>
      </c>
      <c r="W166" s="321">
        <v>0.15</v>
      </c>
      <c r="X166" s="322">
        <v>0.05</v>
      </c>
      <c r="Y166" s="315">
        <v>0.3</v>
      </c>
      <c r="Z166" s="316">
        <v>0.5</v>
      </c>
      <c r="AA166" s="382"/>
      <c r="AB166" s="383"/>
      <c r="AC166" s="383"/>
      <c r="AD166" s="383"/>
      <c r="AE166" s="383"/>
      <c r="AF166" s="383"/>
      <c r="AG166" s="383"/>
      <c r="AH166" s="383"/>
      <c r="AI166" s="383"/>
      <c r="AJ166" s="383"/>
      <c r="AK166" s="383"/>
      <c r="AL166" s="383"/>
      <c r="AM166" s="383"/>
      <c r="AN166" s="383"/>
      <c r="AO166" s="383"/>
      <c r="AP166" s="383"/>
      <c r="AQ166" s="383"/>
      <c r="AR166" s="383"/>
      <c r="AS166" s="383"/>
      <c r="AT166" s="383"/>
      <c r="AU166" s="383"/>
      <c r="AV166" s="383"/>
      <c r="AW166" s="383"/>
      <c r="AX166" s="383"/>
      <c r="AY166" s="383"/>
      <c r="AZ166" s="383"/>
      <c r="BA166" s="383"/>
      <c r="BB166" s="383"/>
      <c r="BC166" s="384"/>
      <c r="BD166" s="301"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8" t="s">
        <v>1061</v>
      </c>
      <c r="EN166" s="274" t="s">
        <v>1054</v>
      </c>
      <c r="EO166" s="385">
        <v>0</v>
      </c>
      <c r="EP166" s="385">
        <v>1</v>
      </c>
      <c r="EQ166" s="329">
        <v>0.15</v>
      </c>
      <c r="ER166" s="843">
        <v>0.1</v>
      </c>
      <c r="ES166" s="843">
        <v>0.75</v>
      </c>
      <c r="ET166" s="842">
        <v>0</v>
      </c>
    </row>
    <row r="167" spans="1:152" ht="78.75" customHeight="1" x14ac:dyDescent="0.2">
      <c r="A167" s="277" t="s">
        <v>90</v>
      </c>
      <c r="B167" s="428" t="s">
        <v>91</v>
      </c>
      <c r="C167" s="429" t="s">
        <v>992</v>
      </c>
      <c r="D167" s="429"/>
      <c r="E167" s="8" t="s">
        <v>57</v>
      </c>
      <c r="F167" s="647" t="str">
        <f t="shared" si="100"/>
        <v>E3.P_A</v>
      </c>
      <c r="G167" s="409" t="s">
        <v>250</v>
      </c>
      <c r="H167" s="648" t="s">
        <v>386</v>
      </c>
      <c r="I167" s="442"/>
      <c r="J167" s="284" t="s">
        <v>61</v>
      </c>
      <c r="K167" s="285" t="str">
        <f t="shared" si="101"/>
        <v>E3.P_A.MR1</v>
      </c>
      <c r="L167" s="408" t="s">
        <v>356</v>
      </c>
      <c r="M167" s="409" t="s">
        <v>995</v>
      </c>
      <c r="N167" s="491">
        <v>87</v>
      </c>
      <c r="O167" s="10">
        <v>114</v>
      </c>
      <c r="P167" s="480" t="s">
        <v>1064</v>
      </c>
      <c r="Q167" s="492" t="str">
        <f t="shared" si="102"/>
        <v>E3.P_A.MR1-MP20-1</v>
      </c>
      <c r="R167" s="420" t="s">
        <v>1065</v>
      </c>
      <c r="S167" s="649" t="s">
        <v>1054</v>
      </c>
      <c r="T167" s="380">
        <v>0</v>
      </c>
      <c r="U167" s="381">
        <v>1</v>
      </c>
      <c r="V167" s="380" t="s">
        <v>67</v>
      </c>
      <c r="W167" s="321">
        <v>0.05</v>
      </c>
      <c r="X167" s="296">
        <v>0</v>
      </c>
      <c r="Y167" s="321">
        <v>0.45</v>
      </c>
      <c r="Z167" s="316">
        <v>0.5</v>
      </c>
      <c r="AA167" s="382"/>
      <c r="AB167" s="383"/>
      <c r="AC167" s="383"/>
      <c r="AD167" s="383"/>
      <c r="AE167" s="383"/>
      <c r="AF167" s="383"/>
      <c r="AG167" s="383"/>
      <c r="AH167" s="383"/>
      <c r="AI167" s="383"/>
      <c r="AJ167" s="383"/>
      <c r="AK167" s="383"/>
      <c r="AL167" s="383"/>
      <c r="AM167" s="383"/>
      <c r="AN167" s="383"/>
      <c r="AO167" s="383"/>
      <c r="AP167" s="383"/>
      <c r="AQ167" s="383"/>
      <c r="AR167" s="383"/>
      <c r="AS167" s="383"/>
      <c r="AT167" s="383"/>
      <c r="AU167" s="383"/>
      <c r="AV167" s="383"/>
      <c r="AW167" s="383"/>
      <c r="AX167" s="383"/>
      <c r="AY167" s="383"/>
      <c r="AZ167" s="383"/>
      <c r="BA167" s="383"/>
      <c r="BB167" s="383"/>
      <c r="BC167" s="384"/>
      <c r="BD167" s="301"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8" t="s">
        <v>1065</v>
      </c>
      <c r="EN167" s="274" t="s">
        <v>1054</v>
      </c>
      <c r="EO167" s="385">
        <v>0</v>
      </c>
      <c r="EP167" s="385">
        <v>1</v>
      </c>
      <c r="EQ167" s="329">
        <v>0</v>
      </c>
      <c r="ER167" s="843">
        <v>0.05</v>
      </c>
      <c r="ES167" s="329">
        <v>0.4</v>
      </c>
      <c r="ET167" s="844">
        <v>0.55000000000000004</v>
      </c>
    </row>
    <row r="168" spans="1:152" ht="96" customHeight="1" thickBot="1" x14ac:dyDescent="0.25">
      <c r="A168" s="277" t="s">
        <v>90</v>
      </c>
      <c r="B168" s="428" t="s">
        <v>91</v>
      </c>
      <c r="C168" s="429" t="s">
        <v>992</v>
      </c>
      <c r="D168" s="429"/>
      <c r="E168" s="8" t="s">
        <v>57</v>
      </c>
      <c r="F168" s="647" t="str">
        <f t="shared" si="100"/>
        <v>E3.P_A</v>
      </c>
      <c r="G168" s="425" t="s">
        <v>250</v>
      </c>
      <c r="H168" s="652" t="s">
        <v>386</v>
      </c>
      <c r="I168" s="446"/>
      <c r="J168" s="340" t="s">
        <v>61</v>
      </c>
      <c r="K168" s="400" t="str">
        <f t="shared" si="101"/>
        <v>E3.P_A.MR1</v>
      </c>
      <c r="L168" s="424" t="s">
        <v>356</v>
      </c>
      <c r="M168" s="409" t="s">
        <v>995</v>
      </c>
      <c r="N168" s="497">
        <v>87</v>
      </c>
      <c r="O168" s="12">
        <v>114</v>
      </c>
      <c r="P168" s="653" t="s">
        <v>1068</v>
      </c>
      <c r="Q168" s="498" t="str">
        <f t="shared" si="102"/>
        <v>E3.P_A.MR1-MP21-1</v>
      </c>
      <c r="R168" s="475" t="s">
        <v>1069</v>
      </c>
      <c r="S168" s="654" t="s">
        <v>1054</v>
      </c>
      <c r="T168" s="392">
        <v>0</v>
      </c>
      <c r="U168" s="393">
        <v>1</v>
      </c>
      <c r="V168" s="392" t="s">
        <v>67</v>
      </c>
      <c r="W168" s="402">
        <v>0</v>
      </c>
      <c r="X168" s="620">
        <v>0.1</v>
      </c>
      <c r="Y168" s="402">
        <v>0.4</v>
      </c>
      <c r="Z168" s="403">
        <v>0.4</v>
      </c>
      <c r="AA168" s="382"/>
      <c r="AB168" s="383"/>
      <c r="AC168" s="383"/>
      <c r="AD168" s="383"/>
      <c r="AE168" s="383"/>
      <c r="AF168" s="383"/>
      <c r="AG168" s="383"/>
      <c r="AH168" s="383"/>
      <c r="AI168" s="383"/>
      <c r="AJ168" s="383"/>
      <c r="AK168" s="383"/>
      <c r="AL168" s="383"/>
      <c r="AM168" s="383"/>
      <c r="AN168" s="383"/>
      <c r="AO168" s="383"/>
      <c r="AP168" s="383"/>
      <c r="AQ168" s="383"/>
      <c r="AR168" s="383"/>
      <c r="AS168" s="383"/>
      <c r="AT168" s="383"/>
      <c r="AU168" s="383"/>
      <c r="AV168" s="383"/>
      <c r="AW168" s="383"/>
      <c r="AX168" s="383"/>
      <c r="AY168" s="383"/>
      <c r="AZ168" s="383"/>
      <c r="BA168" s="383"/>
      <c r="BB168" s="383"/>
      <c r="BC168" s="384"/>
      <c r="BD168" s="301"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8" t="s">
        <v>1069</v>
      </c>
      <c r="EN168" s="274" t="s">
        <v>1054</v>
      </c>
      <c r="EO168" s="385">
        <v>0</v>
      </c>
      <c r="EP168" s="385">
        <v>1</v>
      </c>
      <c r="EQ168" s="805">
        <v>0</v>
      </c>
      <c r="ER168" s="839">
        <v>0</v>
      </c>
      <c r="ES168" s="839">
        <v>1</v>
      </c>
      <c r="ET168" s="842">
        <v>0</v>
      </c>
    </row>
    <row r="169" spans="1:152" ht="120.75" customHeight="1" x14ac:dyDescent="0.2">
      <c r="A169" s="277" t="s">
        <v>90</v>
      </c>
      <c r="B169" s="428" t="s">
        <v>91</v>
      </c>
      <c r="C169" s="429" t="s">
        <v>992</v>
      </c>
      <c r="D169" s="430" t="s">
        <v>993</v>
      </c>
      <c r="E169" s="3" t="s">
        <v>372</v>
      </c>
      <c r="F169" s="431" t="str">
        <f t="shared" si="100"/>
        <v>E3.P_B</v>
      </c>
      <c r="G169" s="604" t="s">
        <v>259</v>
      </c>
      <c r="H169" s="240" t="s">
        <v>397</v>
      </c>
      <c r="I169" s="655" t="s">
        <v>1072</v>
      </c>
      <c r="J169" s="656" t="s">
        <v>61</v>
      </c>
      <c r="K169" s="415" t="str">
        <f t="shared" si="101"/>
        <v>E3.P_B.MR1</v>
      </c>
      <c r="L169" s="360" t="s">
        <v>367</v>
      </c>
      <c r="M169" s="361" t="s">
        <v>1073</v>
      </c>
      <c r="N169" s="657" t="s">
        <v>1074</v>
      </c>
      <c r="O169" s="657" t="s">
        <v>1075</v>
      </c>
      <c r="P169" s="364" t="s">
        <v>64</v>
      </c>
      <c r="Q169" s="365" t="str">
        <f t="shared" si="102"/>
        <v>E3.P_B.MR1-MP01-1</v>
      </c>
      <c r="R169" s="416" t="s">
        <v>1076</v>
      </c>
      <c r="S169" s="506" t="s">
        <v>1077</v>
      </c>
      <c r="T169" s="616">
        <v>0.3</v>
      </c>
      <c r="U169" s="617">
        <v>1</v>
      </c>
      <c r="V169" s="368" t="s">
        <v>67</v>
      </c>
      <c r="W169" s="255">
        <v>0</v>
      </c>
      <c r="X169" s="370">
        <v>1</v>
      </c>
      <c r="Y169" s="255">
        <v>0</v>
      </c>
      <c r="Z169" s="371">
        <v>0</v>
      </c>
      <c r="AA169" s="589">
        <f>60000000+110000000+72000000+58000000+16000000+75000000+670823772+4467823630+7229147100+106038236+5490975116-54150612-100000000-1320419925-701703100+533570537-292643986</f>
        <v>16420460768</v>
      </c>
      <c r="AB169" s="590">
        <v>0</v>
      </c>
      <c r="AC169" s="590">
        <f>1500000000+4034572820+54150612+100000000+1000000000+701703100+292643986</f>
        <v>7683070518</v>
      </c>
      <c r="AD169" s="590">
        <v>0</v>
      </c>
      <c r="AE169" s="590">
        <v>0</v>
      </c>
      <c r="AF169" s="590">
        <f>642823000+200000000+400000000+757742710+213611846+576646770</f>
        <v>2790824326</v>
      </c>
      <c r="AG169" s="590">
        <f t="shared" ref="AG169" si="115">SUM(AA169:AF169)</f>
        <v>26894355612</v>
      </c>
      <c r="AH169" s="590">
        <f t="shared" ref="AH169:AL169" si="116">AA169*1.035</f>
        <v>16995176894.879999</v>
      </c>
      <c r="AI169" s="590">
        <f t="shared" si="116"/>
        <v>0</v>
      </c>
      <c r="AJ169" s="590">
        <f t="shared" si="116"/>
        <v>7951977986.1299992</v>
      </c>
      <c r="AK169" s="590">
        <f t="shared" si="116"/>
        <v>0</v>
      </c>
      <c r="AL169" s="590">
        <f t="shared" si="116"/>
        <v>0</v>
      </c>
      <c r="AM169" s="590">
        <f>AF169*1.035</f>
        <v>2888503177.4099998</v>
      </c>
      <c r="AN169" s="590">
        <f t="shared" ref="AN169" si="117">SUM(AH169:AM169)</f>
        <v>27835658058.419998</v>
      </c>
      <c r="AO169" s="590">
        <f t="shared" ref="AO169:AS169" si="118">AH169*1.035</f>
        <v>17590008086.200798</v>
      </c>
      <c r="AP169" s="590">
        <f t="shared" si="118"/>
        <v>0</v>
      </c>
      <c r="AQ169" s="590">
        <f t="shared" si="118"/>
        <v>8230297215.6445484</v>
      </c>
      <c r="AR169" s="590">
        <f t="shared" si="118"/>
        <v>0</v>
      </c>
      <c r="AS169" s="590">
        <f t="shared" si="118"/>
        <v>0</v>
      </c>
      <c r="AT169" s="590">
        <f>AM169*1.035</f>
        <v>2989600788.6193495</v>
      </c>
      <c r="AU169" s="590">
        <f t="shared" ref="AU169" si="119">SUM(AO169:AT169)</f>
        <v>28809906090.464695</v>
      </c>
      <c r="AV169" s="590">
        <f t="shared" ref="AV169:AZ169" si="120">AO169*1.035</f>
        <v>18205658369.217823</v>
      </c>
      <c r="AW169" s="590">
        <f t="shared" si="120"/>
        <v>0</v>
      </c>
      <c r="AX169" s="590">
        <f t="shared" si="120"/>
        <v>8518357618.1921072</v>
      </c>
      <c r="AY169" s="590">
        <f t="shared" si="120"/>
        <v>0</v>
      </c>
      <c r="AZ169" s="590">
        <f t="shared" si="120"/>
        <v>0</v>
      </c>
      <c r="BA169" s="590">
        <f>AT169*1.035</f>
        <v>3094236816.2210264</v>
      </c>
      <c r="BB169" s="590">
        <f t="shared" ref="BB169" si="121">SUM(AV169:BA169)</f>
        <v>29818252803.630959</v>
      </c>
      <c r="BC169" s="658">
        <f t="shared" ref="BC169" si="122">+BB169+AU169+AN169+AG169</f>
        <v>113358172564.51566</v>
      </c>
      <c r="BD169" s="301"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8" t="s">
        <v>1076</v>
      </c>
      <c r="EN169" s="274" t="s">
        <v>1077</v>
      </c>
      <c r="EO169" s="274">
        <v>0.3</v>
      </c>
      <c r="EP169" s="274">
        <v>1</v>
      </c>
      <c r="EQ169" s="275">
        <v>0</v>
      </c>
      <c r="ER169" s="840">
        <v>0</v>
      </c>
      <c r="ES169" s="840">
        <v>1</v>
      </c>
      <c r="ET169" s="826">
        <v>0</v>
      </c>
    </row>
    <row r="170" spans="1:152" ht="84.75" customHeight="1" x14ac:dyDescent="0.2">
      <c r="A170" s="277" t="s">
        <v>90</v>
      </c>
      <c r="B170" s="428" t="s">
        <v>91</v>
      </c>
      <c r="C170" s="429" t="s">
        <v>992</v>
      </c>
      <c r="D170" s="429"/>
      <c r="E170" s="8" t="s">
        <v>372</v>
      </c>
      <c r="F170" s="281" t="str">
        <f t="shared" si="100"/>
        <v>E3.P_B</v>
      </c>
      <c r="G170" s="282" t="s">
        <v>259</v>
      </c>
      <c r="H170" s="282" t="s">
        <v>397</v>
      </c>
      <c r="I170" s="456"/>
      <c r="J170" s="457" t="s">
        <v>61</v>
      </c>
      <c r="K170" s="373" t="str">
        <f t="shared" si="101"/>
        <v>E3.P_B.MR1</v>
      </c>
      <c r="L170" s="408" t="s">
        <v>367</v>
      </c>
      <c r="M170" s="409" t="s">
        <v>1073</v>
      </c>
      <c r="N170" s="287" t="s">
        <v>1074</v>
      </c>
      <c r="O170" s="287" t="s">
        <v>1075</v>
      </c>
      <c r="P170" s="376" t="s">
        <v>87</v>
      </c>
      <c r="Q170" s="377" t="str">
        <f t="shared" si="102"/>
        <v>E3.P_B.MR1-MP02-1</v>
      </c>
      <c r="R170" s="420" t="s">
        <v>1080</v>
      </c>
      <c r="S170" s="314" t="s">
        <v>1081</v>
      </c>
      <c r="T170" s="293">
        <v>6</v>
      </c>
      <c r="U170" s="294">
        <v>8</v>
      </c>
      <c r="V170" s="293"/>
      <c r="W170" s="315"/>
      <c r="X170" s="330"/>
      <c r="Y170" s="315"/>
      <c r="Z170" s="316"/>
      <c r="AA170" s="298"/>
      <c r="AB170" s="299"/>
      <c r="AC170" s="299"/>
      <c r="AD170" s="299"/>
      <c r="AE170" s="299"/>
      <c r="AF170" s="299"/>
      <c r="AG170" s="299"/>
      <c r="AH170" s="299"/>
      <c r="AI170" s="299"/>
      <c r="AJ170" s="299"/>
      <c r="AK170" s="299"/>
      <c r="AL170" s="299"/>
      <c r="AM170" s="299"/>
      <c r="AN170" s="299"/>
      <c r="AO170" s="299"/>
      <c r="AP170" s="299"/>
      <c r="AQ170" s="299"/>
      <c r="AR170" s="299"/>
      <c r="AS170" s="299"/>
      <c r="AT170" s="299"/>
      <c r="AU170" s="299"/>
      <c r="AV170" s="299"/>
      <c r="AW170" s="299"/>
      <c r="AX170" s="299"/>
      <c r="AY170" s="299"/>
      <c r="AZ170" s="299"/>
      <c r="BA170" s="299"/>
      <c r="BB170" s="299"/>
      <c r="BC170" s="300"/>
      <c r="BD170" s="301"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8" t="s">
        <v>1080</v>
      </c>
      <c r="EN170" s="274" t="s">
        <v>1081</v>
      </c>
      <c r="EO170" s="274">
        <v>6</v>
      </c>
      <c r="EP170" s="807">
        <v>8</v>
      </c>
      <c r="EQ170" s="805">
        <v>0</v>
      </c>
      <c r="ER170" s="839">
        <v>0</v>
      </c>
      <c r="ES170" s="839">
        <v>2</v>
      </c>
      <c r="ET170" s="831">
        <v>0</v>
      </c>
    </row>
    <row r="171" spans="1:152" ht="53.25" customHeight="1" x14ac:dyDescent="0.2">
      <c r="A171" s="277" t="s">
        <v>90</v>
      </c>
      <c r="B171" s="428" t="s">
        <v>91</v>
      </c>
      <c r="C171" s="429" t="s">
        <v>992</v>
      </c>
      <c r="D171" s="429"/>
      <c r="E171" s="8" t="s">
        <v>372</v>
      </c>
      <c r="F171" s="281" t="str">
        <f t="shared" si="100"/>
        <v>E3.P_B</v>
      </c>
      <c r="G171" s="282" t="s">
        <v>259</v>
      </c>
      <c r="H171" s="282" t="s">
        <v>397</v>
      </c>
      <c r="I171" s="456"/>
      <c r="J171" s="457" t="s">
        <v>61</v>
      </c>
      <c r="K171" s="373" t="str">
        <f t="shared" si="101"/>
        <v>E3.P_B.MR1</v>
      </c>
      <c r="L171" s="408" t="s">
        <v>367</v>
      </c>
      <c r="M171" s="409" t="s">
        <v>1073</v>
      </c>
      <c r="N171" s="287" t="s">
        <v>1074</v>
      </c>
      <c r="O171" s="287" t="s">
        <v>1075</v>
      </c>
      <c r="P171" s="376" t="s">
        <v>99</v>
      </c>
      <c r="Q171" s="377" t="str">
        <f t="shared" si="102"/>
        <v>E3.P_B.MR1-MP03-1</v>
      </c>
      <c r="R171" s="420" t="s">
        <v>1084</v>
      </c>
      <c r="S171" s="314" t="s">
        <v>1085</v>
      </c>
      <c r="T171" s="380">
        <v>15</v>
      </c>
      <c r="U171" s="381">
        <v>35</v>
      </c>
      <c r="V171" s="380"/>
      <c r="W171" s="315"/>
      <c r="X171" s="330"/>
      <c r="Y171" s="315"/>
      <c r="Z171" s="316"/>
      <c r="AA171" s="382"/>
      <c r="AB171" s="383"/>
      <c r="AC171" s="383"/>
      <c r="AD171" s="383"/>
      <c r="AE171" s="383"/>
      <c r="AF171" s="383"/>
      <c r="AG171" s="383"/>
      <c r="AH171" s="383"/>
      <c r="AI171" s="383"/>
      <c r="AJ171" s="383"/>
      <c r="AK171" s="383"/>
      <c r="AL171" s="383"/>
      <c r="AM171" s="383"/>
      <c r="AN171" s="383"/>
      <c r="AO171" s="383"/>
      <c r="AP171" s="383"/>
      <c r="AQ171" s="383"/>
      <c r="AR171" s="383"/>
      <c r="AS171" s="383"/>
      <c r="AT171" s="383"/>
      <c r="AU171" s="383"/>
      <c r="AV171" s="383"/>
      <c r="AW171" s="383"/>
      <c r="AX171" s="383"/>
      <c r="AY171" s="383"/>
      <c r="AZ171" s="383"/>
      <c r="BA171" s="383"/>
      <c r="BB171" s="383"/>
      <c r="BC171" s="384"/>
      <c r="BD171" s="301"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8" t="s">
        <v>1084</v>
      </c>
      <c r="EN171" s="274" t="s">
        <v>1085</v>
      </c>
      <c r="EO171" s="385">
        <v>15</v>
      </c>
      <c r="EP171" s="837">
        <v>35</v>
      </c>
      <c r="EQ171" s="805">
        <v>0</v>
      </c>
      <c r="ER171" s="839">
        <v>14</v>
      </c>
      <c r="ES171" s="839">
        <v>14</v>
      </c>
      <c r="ET171" s="842">
        <v>7</v>
      </c>
    </row>
    <row r="172" spans="1:152" ht="57" customHeight="1" x14ac:dyDescent="0.2">
      <c r="A172" s="277" t="s">
        <v>90</v>
      </c>
      <c r="B172" s="428" t="s">
        <v>91</v>
      </c>
      <c r="C172" s="429" t="s">
        <v>992</v>
      </c>
      <c r="D172" s="429"/>
      <c r="E172" s="8" t="s">
        <v>372</v>
      </c>
      <c r="F172" s="281" t="str">
        <f t="shared" si="100"/>
        <v>E3.P_B</v>
      </c>
      <c r="G172" s="282" t="s">
        <v>259</v>
      </c>
      <c r="H172" s="282" t="s">
        <v>397</v>
      </c>
      <c r="I172" s="456"/>
      <c r="J172" s="457" t="s">
        <v>61</v>
      </c>
      <c r="K172" s="373" t="str">
        <f t="shared" si="101"/>
        <v>E3.P_B.MR1</v>
      </c>
      <c r="L172" s="408" t="s">
        <v>367</v>
      </c>
      <c r="M172" s="409" t="s">
        <v>1073</v>
      </c>
      <c r="N172" s="287" t="s">
        <v>1074</v>
      </c>
      <c r="O172" s="287" t="s">
        <v>1075</v>
      </c>
      <c r="P172" s="376" t="s">
        <v>112</v>
      </c>
      <c r="Q172" s="377" t="str">
        <f t="shared" si="102"/>
        <v>E3.P_B.MR1-MP04-1</v>
      </c>
      <c r="R172" s="420" t="s">
        <v>1088</v>
      </c>
      <c r="S172" s="314" t="s">
        <v>1089</v>
      </c>
      <c r="T172" s="380">
        <v>140</v>
      </c>
      <c r="U172" s="381">
        <v>140</v>
      </c>
      <c r="V172" s="380" t="s">
        <v>102</v>
      </c>
      <c r="W172" s="295">
        <v>20</v>
      </c>
      <c r="X172" s="296">
        <v>40</v>
      </c>
      <c r="Y172" s="295">
        <v>40</v>
      </c>
      <c r="Z172" s="297">
        <v>40</v>
      </c>
      <c r="AA172" s="382"/>
      <c r="AB172" s="383"/>
      <c r="AC172" s="383"/>
      <c r="AD172" s="383"/>
      <c r="AE172" s="383"/>
      <c r="AF172" s="383"/>
      <c r="AG172" s="383"/>
      <c r="AH172" s="383"/>
      <c r="AI172" s="383"/>
      <c r="AJ172" s="383"/>
      <c r="AK172" s="383"/>
      <c r="AL172" s="383"/>
      <c r="AM172" s="383"/>
      <c r="AN172" s="383"/>
      <c r="AO172" s="383"/>
      <c r="AP172" s="383"/>
      <c r="AQ172" s="383"/>
      <c r="AR172" s="383"/>
      <c r="AS172" s="383"/>
      <c r="AT172" s="383"/>
      <c r="AU172" s="383"/>
      <c r="AV172" s="383"/>
      <c r="AW172" s="383"/>
      <c r="AX172" s="383"/>
      <c r="AY172" s="383"/>
      <c r="AZ172" s="383"/>
      <c r="BA172" s="383"/>
      <c r="BB172" s="383"/>
      <c r="BC172" s="384"/>
      <c r="BD172" s="301"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8" t="s">
        <v>1088</v>
      </c>
      <c r="EN172" s="274" t="s">
        <v>1089</v>
      </c>
      <c r="EO172" s="385">
        <v>140</v>
      </c>
      <c r="EP172" s="385">
        <v>140</v>
      </c>
      <c r="EQ172" s="275">
        <v>20</v>
      </c>
      <c r="ER172" s="275">
        <v>40</v>
      </c>
      <c r="ES172" s="275">
        <v>40</v>
      </c>
      <c r="ET172" s="826">
        <v>40</v>
      </c>
    </row>
    <row r="173" spans="1:152" ht="60" customHeight="1" x14ac:dyDescent="0.2">
      <c r="A173" s="277" t="s">
        <v>90</v>
      </c>
      <c r="B173" s="428" t="s">
        <v>91</v>
      </c>
      <c r="C173" s="429" t="s">
        <v>992</v>
      </c>
      <c r="D173" s="429"/>
      <c r="E173" s="8" t="s">
        <v>372</v>
      </c>
      <c r="F173" s="281" t="str">
        <f t="shared" si="100"/>
        <v>E3.P_B</v>
      </c>
      <c r="G173" s="282" t="s">
        <v>259</v>
      </c>
      <c r="H173" s="282" t="s">
        <v>397</v>
      </c>
      <c r="I173" s="456"/>
      <c r="J173" s="457" t="s">
        <v>61</v>
      </c>
      <c r="K173" s="373" t="str">
        <f t="shared" si="101"/>
        <v>E3.P_B.MR1</v>
      </c>
      <c r="L173" s="408" t="s">
        <v>367</v>
      </c>
      <c r="M173" s="409" t="s">
        <v>1073</v>
      </c>
      <c r="N173" s="287" t="s">
        <v>1074</v>
      </c>
      <c r="O173" s="287" t="s">
        <v>1075</v>
      </c>
      <c r="P173" s="376" t="s">
        <v>122</v>
      </c>
      <c r="Q173" s="377" t="str">
        <f t="shared" si="102"/>
        <v>E3.P_B.MR1-MP05-1</v>
      </c>
      <c r="R173" s="420" t="s">
        <v>1092</v>
      </c>
      <c r="S173" s="314" t="s">
        <v>1093</v>
      </c>
      <c r="T173" s="380">
        <v>12</v>
      </c>
      <c r="U173" s="381">
        <v>30</v>
      </c>
      <c r="V173" s="380" t="s">
        <v>67</v>
      </c>
      <c r="W173" s="295">
        <v>2</v>
      </c>
      <c r="X173" s="296">
        <v>6</v>
      </c>
      <c r="Y173" s="295">
        <v>5</v>
      </c>
      <c r="Z173" s="297">
        <v>5</v>
      </c>
      <c r="AA173" s="382"/>
      <c r="AB173" s="383"/>
      <c r="AC173" s="383"/>
      <c r="AD173" s="383"/>
      <c r="AE173" s="383"/>
      <c r="AF173" s="383"/>
      <c r="AG173" s="383"/>
      <c r="AH173" s="383"/>
      <c r="AI173" s="383"/>
      <c r="AJ173" s="383"/>
      <c r="AK173" s="383"/>
      <c r="AL173" s="383"/>
      <c r="AM173" s="383"/>
      <c r="AN173" s="383"/>
      <c r="AO173" s="383"/>
      <c r="AP173" s="383"/>
      <c r="AQ173" s="383"/>
      <c r="AR173" s="383"/>
      <c r="AS173" s="383"/>
      <c r="AT173" s="383"/>
      <c r="AU173" s="383"/>
      <c r="AV173" s="383"/>
      <c r="AW173" s="383"/>
      <c r="AX173" s="383"/>
      <c r="AY173" s="383"/>
      <c r="AZ173" s="383"/>
      <c r="BA173" s="383"/>
      <c r="BB173" s="383"/>
      <c r="BC173" s="384"/>
      <c r="BD173" s="301"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8" t="s">
        <v>1092</v>
      </c>
      <c r="EN173" s="274" t="s">
        <v>1093</v>
      </c>
      <c r="EO173" s="837">
        <v>12</v>
      </c>
      <c r="EP173" s="837">
        <v>30</v>
      </c>
      <c r="EQ173" s="806">
        <v>2</v>
      </c>
      <c r="ER173" s="806">
        <v>6</v>
      </c>
      <c r="ES173" s="806">
        <v>5</v>
      </c>
      <c r="ET173" s="836">
        <v>5</v>
      </c>
    </row>
    <row r="174" spans="1:152" ht="68.25" customHeight="1" x14ac:dyDescent="0.2">
      <c r="A174" s="277" t="s">
        <v>90</v>
      </c>
      <c r="B174" s="428" t="s">
        <v>91</v>
      </c>
      <c r="C174" s="429" t="s">
        <v>992</v>
      </c>
      <c r="D174" s="429"/>
      <c r="E174" s="8" t="s">
        <v>372</v>
      </c>
      <c r="F174" s="281" t="str">
        <f t="shared" si="100"/>
        <v>E3.P_B</v>
      </c>
      <c r="G174" s="282" t="s">
        <v>259</v>
      </c>
      <c r="H174" s="282" t="s">
        <v>397</v>
      </c>
      <c r="I174" s="456"/>
      <c r="J174" s="457" t="s">
        <v>61</v>
      </c>
      <c r="K174" s="373" t="str">
        <f t="shared" si="101"/>
        <v>E3.P_B.MR1</v>
      </c>
      <c r="L174" s="408" t="s">
        <v>367</v>
      </c>
      <c r="M174" s="409" t="s">
        <v>1073</v>
      </c>
      <c r="N174" s="287" t="s">
        <v>1074</v>
      </c>
      <c r="O174" s="287" t="s">
        <v>1075</v>
      </c>
      <c r="P174" s="376" t="s">
        <v>132</v>
      </c>
      <c r="Q174" s="377" t="str">
        <f t="shared" si="102"/>
        <v>E3.P_B.MR1-MP06-1</v>
      </c>
      <c r="R174" s="420" t="s">
        <v>1096</v>
      </c>
      <c r="S174" s="314" t="s">
        <v>1097</v>
      </c>
      <c r="T174" s="380">
        <v>4</v>
      </c>
      <c r="U174" s="381">
        <v>9</v>
      </c>
      <c r="V174" s="380" t="s">
        <v>67</v>
      </c>
      <c r="W174" s="295">
        <v>1</v>
      </c>
      <c r="X174" s="296">
        <v>2</v>
      </c>
      <c r="Y174" s="295">
        <v>1</v>
      </c>
      <c r="Z174" s="297">
        <v>1</v>
      </c>
      <c r="AA174" s="382"/>
      <c r="AB174" s="383"/>
      <c r="AC174" s="383"/>
      <c r="AD174" s="383"/>
      <c r="AE174" s="383"/>
      <c r="AF174" s="383"/>
      <c r="AG174" s="383"/>
      <c r="AH174" s="383"/>
      <c r="AI174" s="383"/>
      <c r="AJ174" s="383"/>
      <c r="AK174" s="383"/>
      <c r="AL174" s="383"/>
      <c r="AM174" s="383"/>
      <c r="AN174" s="383"/>
      <c r="AO174" s="383"/>
      <c r="AP174" s="383"/>
      <c r="AQ174" s="383"/>
      <c r="AR174" s="383"/>
      <c r="AS174" s="383"/>
      <c r="AT174" s="383"/>
      <c r="AU174" s="383"/>
      <c r="AV174" s="383"/>
      <c r="AW174" s="383"/>
      <c r="AX174" s="383"/>
      <c r="AY174" s="383"/>
      <c r="AZ174" s="383"/>
      <c r="BA174" s="383"/>
      <c r="BB174" s="383"/>
      <c r="BC174" s="384"/>
      <c r="BD174" s="301"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8" t="s">
        <v>1096</v>
      </c>
      <c r="EN174" s="274" t="s">
        <v>1097</v>
      </c>
      <c r="EO174" s="837">
        <v>4</v>
      </c>
      <c r="EP174" s="837">
        <v>9</v>
      </c>
      <c r="EQ174" s="806">
        <v>1</v>
      </c>
      <c r="ER174" s="840">
        <v>3</v>
      </c>
      <c r="ES174" s="840">
        <v>5</v>
      </c>
      <c r="ET174" s="841">
        <v>0</v>
      </c>
    </row>
    <row r="175" spans="1:152" ht="54.75" customHeight="1" x14ac:dyDescent="0.2">
      <c r="A175" s="277" t="s">
        <v>90</v>
      </c>
      <c r="B175" s="428" t="s">
        <v>91</v>
      </c>
      <c r="C175" s="429" t="s">
        <v>992</v>
      </c>
      <c r="D175" s="429"/>
      <c r="E175" s="8" t="s">
        <v>372</v>
      </c>
      <c r="F175" s="281" t="str">
        <f t="shared" si="100"/>
        <v>E3.P_B</v>
      </c>
      <c r="G175" s="282" t="s">
        <v>259</v>
      </c>
      <c r="H175" s="282" t="s">
        <v>397</v>
      </c>
      <c r="I175" s="456"/>
      <c r="J175" s="457" t="s">
        <v>61</v>
      </c>
      <c r="K175" s="373" t="str">
        <f t="shared" si="101"/>
        <v>E3.P_B.MR1</v>
      </c>
      <c r="L175" s="408" t="s">
        <v>367</v>
      </c>
      <c r="M175" s="409" t="s">
        <v>1073</v>
      </c>
      <c r="N175" s="287" t="s">
        <v>1074</v>
      </c>
      <c r="O175" s="287" t="s">
        <v>1075</v>
      </c>
      <c r="P175" s="376" t="s">
        <v>142</v>
      </c>
      <c r="Q175" s="377" t="str">
        <f t="shared" si="102"/>
        <v>E3.P_B.MR1-MP07-1</v>
      </c>
      <c r="R175" s="420" t="s">
        <v>1100</v>
      </c>
      <c r="S175" s="314" t="s">
        <v>1101</v>
      </c>
      <c r="T175" s="380">
        <v>0</v>
      </c>
      <c r="U175" s="381">
        <v>5</v>
      </c>
      <c r="V175" s="380" t="s">
        <v>67</v>
      </c>
      <c r="W175" s="295">
        <v>0</v>
      </c>
      <c r="X175" s="296">
        <v>2</v>
      </c>
      <c r="Y175" s="295">
        <v>2</v>
      </c>
      <c r="Z175" s="297">
        <v>1</v>
      </c>
      <c r="AA175" s="382"/>
      <c r="AB175" s="383"/>
      <c r="AC175" s="383"/>
      <c r="AD175" s="383"/>
      <c r="AE175" s="383"/>
      <c r="AF175" s="383"/>
      <c r="AG175" s="383"/>
      <c r="AH175" s="383"/>
      <c r="AI175" s="383"/>
      <c r="AJ175" s="383"/>
      <c r="AK175" s="383"/>
      <c r="AL175" s="383"/>
      <c r="AM175" s="383"/>
      <c r="AN175" s="383"/>
      <c r="AO175" s="383"/>
      <c r="AP175" s="383"/>
      <c r="AQ175" s="383"/>
      <c r="AR175" s="383"/>
      <c r="AS175" s="383"/>
      <c r="AT175" s="383"/>
      <c r="AU175" s="383"/>
      <c r="AV175" s="383"/>
      <c r="AW175" s="383"/>
      <c r="AX175" s="383"/>
      <c r="AY175" s="383"/>
      <c r="AZ175" s="383"/>
      <c r="BA175" s="383"/>
      <c r="BB175" s="383"/>
      <c r="BC175" s="384"/>
      <c r="BD175" s="301"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8" t="s">
        <v>1100</v>
      </c>
      <c r="EN175" s="274" t="s">
        <v>1101</v>
      </c>
      <c r="EO175" s="385">
        <v>0</v>
      </c>
      <c r="EP175" s="385">
        <v>5</v>
      </c>
      <c r="EQ175" s="275">
        <v>0</v>
      </c>
      <c r="ER175" s="845">
        <v>5</v>
      </c>
      <c r="ES175" s="845">
        <v>0</v>
      </c>
      <c r="ET175" s="846">
        <v>0</v>
      </c>
    </row>
    <row r="176" spans="1:152" ht="72" customHeight="1" x14ac:dyDescent="0.2">
      <c r="A176" s="277" t="s">
        <v>90</v>
      </c>
      <c r="B176" s="428" t="s">
        <v>91</v>
      </c>
      <c r="C176" s="429" t="s">
        <v>992</v>
      </c>
      <c r="D176" s="429"/>
      <c r="E176" s="8" t="s">
        <v>372</v>
      </c>
      <c r="F176" s="281" t="str">
        <f t="shared" si="100"/>
        <v>E3.P_B</v>
      </c>
      <c r="G176" s="282" t="s">
        <v>259</v>
      </c>
      <c r="H176" s="282" t="s">
        <v>397</v>
      </c>
      <c r="I176" s="456"/>
      <c r="J176" s="457" t="s">
        <v>61</v>
      </c>
      <c r="K176" s="373" t="str">
        <f t="shared" si="101"/>
        <v>E3.P_B.MR1</v>
      </c>
      <c r="L176" s="408" t="s">
        <v>367</v>
      </c>
      <c r="M176" s="409" t="s">
        <v>1073</v>
      </c>
      <c r="N176" s="287" t="s">
        <v>1074</v>
      </c>
      <c r="O176" s="287" t="s">
        <v>1075</v>
      </c>
      <c r="P176" s="376" t="s">
        <v>156</v>
      </c>
      <c r="Q176" s="377" t="str">
        <f t="shared" si="102"/>
        <v>E3.P_B.MR1-MP08-1</v>
      </c>
      <c r="R176" s="420" t="s">
        <v>1104</v>
      </c>
      <c r="S176" s="314" t="s">
        <v>1105</v>
      </c>
      <c r="T176" s="380">
        <v>64</v>
      </c>
      <c r="U176" s="381">
        <v>89</v>
      </c>
      <c r="V176" s="380" t="s">
        <v>67</v>
      </c>
      <c r="W176" s="295">
        <v>7</v>
      </c>
      <c r="X176" s="296">
        <v>6</v>
      </c>
      <c r="Y176" s="295">
        <v>6</v>
      </c>
      <c r="Z176" s="297">
        <v>6</v>
      </c>
      <c r="AA176" s="382"/>
      <c r="AB176" s="383"/>
      <c r="AC176" s="383"/>
      <c r="AD176" s="383"/>
      <c r="AE176" s="383"/>
      <c r="AF176" s="383"/>
      <c r="AG176" s="383"/>
      <c r="AH176" s="383"/>
      <c r="AI176" s="383"/>
      <c r="AJ176" s="383"/>
      <c r="AK176" s="383"/>
      <c r="AL176" s="383"/>
      <c r="AM176" s="383"/>
      <c r="AN176" s="383"/>
      <c r="AO176" s="383"/>
      <c r="AP176" s="383"/>
      <c r="AQ176" s="383"/>
      <c r="AR176" s="383"/>
      <c r="AS176" s="383"/>
      <c r="AT176" s="383"/>
      <c r="AU176" s="383"/>
      <c r="AV176" s="383"/>
      <c r="AW176" s="383"/>
      <c r="AX176" s="383"/>
      <c r="AY176" s="383"/>
      <c r="AZ176" s="383"/>
      <c r="BA176" s="383"/>
      <c r="BB176" s="383"/>
      <c r="BC176" s="384"/>
      <c r="BD176" s="301"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8" t="s">
        <v>1104</v>
      </c>
      <c r="EN176" s="274" t="s">
        <v>1105</v>
      </c>
      <c r="EO176" s="837">
        <v>64</v>
      </c>
      <c r="EP176" s="837">
        <v>89</v>
      </c>
      <c r="EQ176" s="806">
        <v>7</v>
      </c>
      <c r="ER176" s="840">
        <v>8</v>
      </c>
      <c r="ES176" s="840">
        <v>9</v>
      </c>
      <c r="ET176" s="841">
        <v>1</v>
      </c>
      <c r="EV176" s="659"/>
    </row>
    <row r="177" spans="1:150" ht="61.5" customHeight="1" x14ac:dyDescent="0.2">
      <c r="A177" s="277" t="s">
        <v>90</v>
      </c>
      <c r="B177" s="428" t="s">
        <v>91</v>
      </c>
      <c r="C177" s="429" t="s">
        <v>992</v>
      </c>
      <c r="D177" s="429"/>
      <c r="E177" s="8" t="s">
        <v>372</v>
      </c>
      <c r="F177" s="281" t="str">
        <f t="shared" si="100"/>
        <v>E3.P_B</v>
      </c>
      <c r="G177" s="282" t="s">
        <v>259</v>
      </c>
      <c r="H177" s="282" t="s">
        <v>397</v>
      </c>
      <c r="I177" s="456"/>
      <c r="J177" s="457" t="s">
        <v>61</v>
      </c>
      <c r="K177" s="373" t="str">
        <f t="shared" si="101"/>
        <v>E3.P_B.MR1</v>
      </c>
      <c r="L177" s="408" t="s">
        <v>367</v>
      </c>
      <c r="M177" s="409" t="s">
        <v>1073</v>
      </c>
      <c r="N177" s="287" t="s">
        <v>1074</v>
      </c>
      <c r="O177" s="287" t="s">
        <v>1075</v>
      </c>
      <c r="P177" s="376" t="s">
        <v>515</v>
      </c>
      <c r="Q177" s="377" t="str">
        <f t="shared" si="102"/>
        <v>E3.P_B.MR1-MP09-1</v>
      </c>
      <c r="R177" s="420" t="s">
        <v>1108</v>
      </c>
      <c r="S177" s="314" t="s">
        <v>1109</v>
      </c>
      <c r="T177" s="380">
        <v>1</v>
      </c>
      <c r="U177" s="381">
        <v>6</v>
      </c>
      <c r="V177" s="380" t="s">
        <v>67</v>
      </c>
      <c r="W177" s="315">
        <v>0.5</v>
      </c>
      <c r="X177" s="330">
        <v>1.5</v>
      </c>
      <c r="Y177" s="315">
        <v>1.5</v>
      </c>
      <c r="Z177" s="316">
        <v>1.5</v>
      </c>
      <c r="AA177" s="382"/>
      <c r="AB177" s="383"/>
      <c r="AC177" s="383"/>
      <c r="AD177" s="383"/>
      <c r="AE177" s="383"/>
      <c r="AF177" s="383"/>
      <c r="AG177" s="383"/>
      <c r="AH177" s="383"/>
      <c r="AI177" s="383"/>
      <c r="AJ177" s="383"/>
      <c r="AK177" s="383"/>
      <c r="AL177" s="383"/>
      <c r="AM177" s="383"/>
      <c r="AN177" s="383"/>
      <c r="AO177" s="383"/>
      <c r="AP177" s="383"/>
      <c r="AQ177" s="383"/>
      <c r="AR177" s="383"/>
      <c r="AS177" s="383"/>
      <c r="AT177" s="383"/>
      <c r="AU177" s="383"/>
      <c r="AV177" s="383"/>
      <c r="AW177" s="383"/>
      <c r="AX177" s="383"/>
      <c r="AY177" s="383"/>
      <c r="AZ177" s="383"/>
      <c r="BA177" s="383"/>
      <c r="BB177" s="383"/>
      <c r="BC177" s="384"/>
      <c r="BD177" s="301"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8" t="s">
        <v>1108</v>
      </c>
      <c r="EN177" s="274" t="s">
        <v>1109</v>
      </c>
      <c r="EO177" s="837">
        <v>1</v>
      </c>
      <c r="EP177" s="837">
        <v>6</v>
      </c>
      <c r="EQ177" s="805">
        <v>0.5</v>
      </c>
      <c r="ER177" s="805">
        <v>1.5</v>
      </c>
      <c r="ES177" s="805">
        <v>1.5</v>
      </c>
      <c r="ET177" s="831">
        <v>1.5</v>
      </c>
    </row>
    <row r="178" spans="1:150" ht="57.75" customHeight="1" x14ac:dyDescent="0.2">
      <c r="A178" s="277" t="s">
        <v>90</v>
      </c>
      <c r="B178" s="428" t="s">
        <v>91</v>
      </c>
      <c r="C178" s="429" t="s">
        <v>992</v>
      </c>
      <c r="D178" s="429"/>
      <c r="E178" s="8" t="s">
        <v>372</v>
      </c>
      <c r="F178" s="281" t="str">
        <f t="shared" si="100"/>
        <v>E3.P_B</v>
      </c>
      <c r="G178" s="282" t="s">
        <v>259</v>
      </c>
      <c r="H178" s="282" t="s">
        <v>397</v>
      </c>
      <c r="I178" s="456"/>
      <c r="J178" s="457" t="s">
        <v>61</v>
      </c>
      <c r="K178" s="373" t="str">
        <f t="shared" si="101"/>
        <v>E3.P_B.MR1</v>
      </c>
      <c r="L178" s="408" t="s">
        <v>367</v>
      </c>
      <c r="M178" s="409" t="s">
        <v>1073</v>
      </c>
      <c r="N178" s="287" t="s">
        <v>1074</v>
      </c>
      <c r="O178" s="287" t="s">
        <v>1075</v>
      </c>
      <c r="P178" s="376" t="s">
        <v>522</v>
      </c>
      <c r="Q178" s="377" t="str">
        <f t="shared" si="102"/>
        <v>E3.P_B.MR1-MP10-1</v>
      </c>
      <c r="R178" s="420" t="s">
        <v>1112</v>
      </c>
      <c r="S178" s="314" t="s">
        <v>1113</v>
      </c>
      <c r="T178" s="380">
        <v>0</v>
      </c>
      <c r="U178" s="381">
        <v>1</v>
      </c>
      <c r="V178" s="380" t="s">
        <v>67</v>
      </c>
      <c r="W178" s="295">
        <v>0</v>
      </c>
      <c r="X178" s="330">
        <v>0.5</v>
      </c>
      <c r="Y178" s="315">
        <v>0.5</v>
      </c>
      <c r="Z178" s="297">
        <v>0</v>
      </c>
      <c r="AA178" s="382"/>
      <c r="AB178" s="383"/>
      <c r="AC178" s="383"/>
      <c r="AD178" s="383"/>
      <c r="AE178" s="383"/>
      <c r="AF178" s="383"/>
      <c r="AG178" s="383"/>
      <c r="AH178" s="383"/>
      <c r="AI178" s="383"/>
      <c r="AJ178" s="383"/>
      <c r="AK178" s="383"/>
      <c r="AL178" s="383"/>
      <c r="AM178" s="383"/>
      <c r="AN178" s="383"/>
      <c r="AO178" s="383"/>
      <c r="AP178" s="383"/>
      <c r="AQ178" s="383"/>
      <c r="AR178" s="383"/>
      <c r="AS178" s="383"/>
      <c r="AT178" s="383"/>
      <c r="AU178" s="383"/>
      <c r="AV178" s="383"/>
      <c r="AW178" s="383"/>
      <c r="AX178" s="383"/>
      <c r="AY178" s="383"/>
      <c r="AZ178" s="383"/>
      <c r="BA178" s="383"/>
      <c r="BB178" s="383"/>
      <c r="BC178" s="384"/>
      <c r="BD178" s="301"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8" t="s">
        <v>1112</v>
      </c>
      <c r="EN178" s="274" t="s">
        <v>1113</v>
      </c>
      <c r="EO178" s="385">
        <v>0</v>
      </c>
      <c r="EP178" s="385">
        <v>1</v>
      </c>
      <c r="EQ178" s="275">
        <v>0</v>
      </c>
      <c r="ER178" s="276">
        <v>0.5</v>
      </c>
      <c r="ES178" s="276">
        <v>0.5</v>
      </c>
      <c r="ET178" s="826">
        <v>0</v>
      </c>
    </row>
    <row r="179" spans="1:150" ht="72" customHeight="1" x14ac:dyDescent="0.2">
      <c r="A179" s="277" t="s">
        <v>90</v>
      </c>
      <c r="B179" s="428" t="s">
        <v>91</v>
      </c>
      <c r="C179" s="429" t="s">
        <v>992</v>
      </c>
      <c r="D179" s="429"/>
      <c r="E179" s="8" t="s">
        <v>372</v>
      </c>
      <c r="F179" s="281" t="str">
        <f t="shared" si="100"/>
        <v>E3.P_B</v>
      </c>
      <c r="G179" s="282" t="s">
        <v>259</v>
      </c>
      <c r="H179" s="282" t="s">
        <v>397</v>
      </c>
      <c r="I179" s="456"/>
      <c r="J179" s="457" t="s">
        <v>61</v>
      </c>
      <c r="K179" s="373" t="str">
        <f t="shared" si="101"/>
        <v>E3.P_B.MR1</v>
      </c>
      <c r="L179" s="408" t="s">
        <v>367</v>
      </c>
      <c r="M179" s="409" t="s">
        <v>1073</v>
      </c>
      <c r="N179" s="287" t="s">
        <v>1074</v>
      </c>
      <c r="O179" s="287" t="s">
        <v>1075</v>
      </c>
      <c r="P179" s="376" t="s">
        <v>610</v>
      </c>
      <c r="Q179" s="377" t="str">
        <f t="shared" si="102"/>
        <v>E3.P_B.MR1-MP11-1</v>
      </c>
      <c r="R179" s="420" t="s">
        <v>1116</v>
      </c>
      <c r="S179" s="314" t="s">
        <v>1117</v>
      </c>
      <c r="T179" s="380">
        <v>0</v>
      </c>
      <c r="U179" s="381">
        <v>1</v>
      </c>
      <c r="V179" s="380" t="s">
        <v>67</v>
      </c>
      <c r="W179" s="295">
        <v>0</v>
      </c>
      <c r="X179" s="296">
        <v>0</v>
      </c>
      <c r="Y179" s="295">
        <v>1</v>
      </c>
      <c r="Z179" s="297">
        <v>0</v>
      </c>
      <c r="AA179" s="382"/>
      <c r="AB179" s="383"/>
      <c r="AC179" s="383"/>
      <c r="AD179" s="383"/>
      <c r="AE179" s="383"/>
      <c r="AF179" s="383"/>
      <c r="AG179" s="383"/>
      <c r="AH179" s="383"/>
      <c r="AI179" s="383"/>
      <c r="AJ179" s="383"/>
      <c r="AK179" s="383"/>
      <c r="AL179" s="383"/>
      <c r="AM179" s="383"/>
      <c r="AN179" s="383"/>
      <c r="AO179" s="383"/>
      <c r="AP179" s="383"/>
      <c r="AQ179" s="383"/>
      <c r="AR179" s="383"/>
      <c r="AS179" s="383"/>
      <c r="AT179" s="383"/>
      <c r="AU179" s="383"/>
      <c r="AV179" s="383"/>
      <c r="AW179" s="383"/>
      <c r="AX179" s="383"/>
      <c r="AY179" s="383"/>
      <c r="AZ179" s="383"/>
      <c r="BA179" s="383"/>
      <c r="BB179" s="383"/>
      <c r="BC179" s="384"/>
      <c r="BD179" s="301"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8" t="s">
        <v>1116</v>
      </c>
      <c r="EN179" s="274" t="s">
        <v>1117</v>
      </c>
      <c r="EO179" s="385">
        <v>0</v>
      </c>
      <c r="EP179" s="385">
        <v>1</v>
      </c>
      <c r="EQ179" s="275">
        <v>0</v>
      </c>
      <c r="ER179" s="839">
        <v>0.1</v>
      </c>
      <c r="ES179" s="839">
        <v>0.9</v>
      </c>
      <c r="ET179" s="826">
        <v>0</v>
      </c>
    </row>
    <row r="180" spans="1:150" ht="67.5" customHeight="1" x14ac:dyDescent="0.2">
      <c r="A180" s="277" t="s">
        <v>90</v>
      </c>
      <c r="B180" s="428" t="s">
        <v>91</v>
      </c>
      <c r="C180" s="429" t="s">
        <v>992</v>
      </c>
      <c r="D180" s="429"/>
      <c r="E180" s="8" t="s">
        <v>372</v>
      </c>
      <c r="F180" s="281" t="str">
        <f t="shared" si="100"/>
        <v>E3.P_B</v>
      </c>
      <c r="G180" s="282" t="s">
        <v>259</v>
      </c>
      <c r="H180" s="282" t="s">
        <v>397</v>
      </c>
      <c r="I180" s="456"/>
      <c r="J180" s="457" t="s">
        <v>61</v>
      </c>
      <c r="K180" s="373" t="str">
        <f t="shared" si="101"/>
        <v>E3.P_B.MR1</v>
      </c>
      <c r="L180" s="408" t="s">
        <v>367</v>
      </c>
      <c r="M180" s="409" t="s">
        <v>1073</v>
      </c>
      <c r="N180" s="287" t="s">
        <v>1074</v>
      </c>
      <c r="O180" s="287" t="s">
        <v>1075</v>
      </c>
      <c r="P180" s="376" t="s">
        <v>615</v>
      </c>
      <c r="Q180" s="377" t="str">
        <f t="shared" si="102"/>
        <v>E3.P_B.MR1-MP12-1</v>
      </c>
      <c r="R180" s="420" t="s">
        <v>1120</v>
      </c>
      <c r="S180" s="314" t="s">
        <v>906</v>
      </c>
      <c r="T180" s="380">
        <v>0</v>
      </c>
      <c r="U180" s="381">
        <v>1</v>
      </c>
      <c r="V180" s="380" t="s">
        <v>67</v>
      </c>
      <c r="W180" s="321">
        <v>0.02</v>
      </c>
      <c r="X180" s="330">
        <v>0.2</v>
      </c>
      <c r="Y180" s="321">
        <v>0.08</v>
      </c>
      <c r="Z180" s="316">
        <v>0.7</v>
      </c>
      <c r="AA180" s="382"/>
      <c r="AB180" s="383"/>
      <c r="AC180" s="383"/>
      <c r="AD180" s="383"/>
      <c r="AE180" s="383"/>
      <c r="AF180" s="383"/>
      <c r="AG180" s="383"/>
      <c r="AH180" s="383"/>
      <c r="AI180" s="383"/>
      <c r="AJ180" s="383"/>
      <c r="AK180" s="383"/>
      <c r="AL180" s="383"/>
      <c r="AM180" s="383"/>
      <c r="AN180" s="383"/>
      <c r="AO180" s="383"/>
      <c r="AP180" s="383"/>
      <c r="AQ180" s="383"/>
      <c r="AR180" s="383"/>
      <c r="AS180" s="383"/>
      <c r="AT180" s="383"/>
      <c r="AU180" s="383"/>
      <c r="AV180" s="383"/>
      <c r="AW180" s="383"/>
      <c r="AX180" s="383"/>
      <c r="AY180" s="383"/>
      <c r="AZ180" s="383"/>
      <c r="BA180" s="383"/>
      <c r="BB180" s="383"/>
      <c r="BC180" s="384"/>
      <c r="BD180" s="301"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8" t="s">
        <v>1120</v>
      </c>
      <c r="EN180" s="274" t="s">
        <v>906</v>
      </c>
      <c r="EO180" s="385">
        <v>0</v>
      </c>
      <c r="EP180" s="385">
        <v>1</v>
      </c>
      <c r="EQ180" s="329">
        <v>0.02</v>
      </c>
      <c r="ER180" s="839">
        <v>0</v>
      </c>
      <c r="ES180" s="329">
        <v>0.08</v>
      </c>
      <c r="ET180" s="842">
        <v>0.9</v>
      </c>
    </row>
    <row r="181" spans="1:150" ht="45" customHeight="1" thickBot="1" x14ac:dyDescent="0.25">
      <c r="A181" s="277" t="s">
        <v>90</v>
      </c>
      <c r="B181" s="428" t="s">
        <v>91</v>
      </c>
      <c r="C181" s="429" t="s">
        <v>992</v>
      </c>
      <c r="D181" s="429"/>
      <c r="E181" s="8" t="s">
        <v>372</v>
      </c>
      <c r="F181" s="281" t="str">
        <f t="shared" si="100"/>
        <v>E3.P_B</v>
      </c>
      <c r="G181" s="282" t="s">
        <v>259</v>
      </c>
      <c r="H181" s="282" t="s">
        <v>397</v>
      </c>
      <c r="I181" s="462"/>
      <c r="J181" s="463" t="s">
        <v>61</v>
      </c>
      <c r="K181" s="464" t="str">
        <f t="shared" si="101"/>
        <v>E3.P_B.MR1</v>
      </c>
      <c r="L181" s="424" t="s">
        <v>367</v>
      </c>
      <c r="M181" s="425" t="s">
        <v>1073</v>
      </c>
      <c r="N181" s="387" t="s">
        <v>1074</v>
      </c>
      <c r="O181" s="387" t="s">
        <v>1075</v>
      </c>
      <c r="P181" s="390" t="s">
        <v>620</v>
      </c>
      <c r="Q181" s="391" t="str">
        <f t="shared" si="102"/>
        <v>E3.P_B.MR1-MP13-1</v>
      </c>
      <c r="R181" s="475" t="s">
        <v>1123</v>
      </c>
      <c r="S181" s="337" t="s">
        <v>1124</v>
      </c>
      <c r="T181" s="618">
        <v>0</v>
      </c>
      <c r="U181" s="619">
        <v>1</v>
      </c>
      <c r="V181" s="392" t="s">
        <v>67</v>
      </c>
      <c r="W181" s="352">
        <v>0</v>
      </c>
      <c r="X181" s="395">
        <v>0.35</v>
      </c>
      <c r="Y181" s="394">
        <v>0.35</v>
      </c>
      <c r="Z181" s="403">
        <v>0.3</v>
      </c>
      <c r="AA181" s="382"/>
      <c r="AB181" s="383"/>
      <c r="AC181" s="383"/>
      <c r="AD181" s="383"/>
      <c r="AE181" s="383"/>
      <c r="AF181" s="383"/>
      <c r="AG181" s="383"/>
      <c r="AH181" s="383"/>
      <c r="AI181" s="383"/>
      <c r="AJ181" s="383"/>
      <c r="AK181" s="383"/>
      <c r="AL181" s="383"/>
      <c r="AM181" s="383"/>
      <c r="AN181" s="383"/>
      <c r="AO181" s="383"/>
      <c r="AP181" s="383"/>
      <c r="AQ181" s="383"/>
      <c r="AR181" s="383"/>
      <c r="AS181" s="383"/>
      <c r="AT181" s="383"/>
      <c r="AU181" s="383"/>
      <c r="AV181" s="383"/>
      <c r="AW181" s="383"/>
      <c r="AX181" s="383"/>
      <c r="AY181" s="383"/>
      <c r="AZ181" s="383"/>
      <c r="BA181" s="383"/>
      <c r="BB181" s="383"/>
      <c r="BC181" s="384"/>
      <c r="BD181" s="301"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8" t="s">
        <v>1123</v>
      </c>
      <c r="EN181" s="274" t="s">
        <v>1124</v>
      </c>
      <c r="EO181" s="385">
        <v>0</v>
      </c>
      <c r="EP181" s="385">
        <v>1</v>
      </c>
      <c r="EQ181" s="275">
        <v>0</v>
      </c>
      <c r="ER181" s="843">
        <v>0</v>
      </c>
      <c r="ES181" s="329">
        <v>0.35</v>
      </c>
      <c r="ET181" s="844">
        <v>0.65</v>
      </c>
    </row>
    <row r="182" spans="1:150" ht="90.75" customHeight="1" x14ac:dyDescent="0.2">
      <c r="A182" s="277" t="s">
        <v>90</v>
      </c>
      <c r="B182" s="428" t="s">
        <v>91</v>
      </c>
      <c r="C182" s="429" t="s">
        <v>992</v>
      </c>
      <c r="D182" s="430" t="s">
        <v>1127</v>
      </c>
      <c r="E182" s="3" t="s">
        <v>530</v>
      </c>
      <c r="F182" s="3" t="str">
        <f t="shared" si="100"/>
        <v>E3.P_C</v>
      </c>
      <c r="G182" s="478" t="s">
        <v>273</v>
      </c>
      <c r="H182" s="361" t="s">
        <v>408</v>
      </c>
      <c r="I182" s="453" t="s">
        <v>1128</v>
      </c>
      <c r="J182" s="454" t="s">
        <v>61</v>
      </c>
      <c r="K182" s="455" t="str">
        <f t="shared" si="101"/>
        <v>E3.P_C.MR1</v>
      </c>
      <c r="L182" s="360" t="s">
        <v>381</v>
      </c>
      <c r="M182" s="361" t="s">
        <v>1129</v>
      </c>
      <c r="N182" s="362">
        <v>99</v>
      </c>
      <c r="O182" s="247">
        <v>99</v>
      </c>
      <c r="P182" s="364" t="s">
        <v>64</v>
      </c>
      <c r="Q182" s="365" t="str">
        <f t="shared" si="102"/>
        <v>E3.P_C.MR1-MP01-1</v>
      </c>
      <c r="R182" s="416" t="s">
        <v>1130</v>
      </c>
      <c r="S182" s="367" t="s">
        <v>1131</v>
      </c>
      <c r="T182" s="368">
        <v>184</v>
      </c>
      <c r="U182" s="369">
        <v>300</v>
      </c>
      <c r="V182" s="368" t="s">
        <v>67</v>
      </c>
      <c r="W182" s="255">
        <v>0</v>
      </c>
      <c r="X182" s="370">
        <v>150</v>
      </c>
      <c r="Y182" s="255">
        <v>150</v>
      </c>
      <c r="Z182" s="371">
        <v>0</v>
      </c>
      <c r="AA182" s="589">
        <f>323616000+300000000-447232000</f>
        <v>176384000</v>
      </c>
      <c r="AB182" s="590">
        <f>103032235+896967765-1000000000</f>
        <v>0</v>
      </c>
      <c r="AC182" s="590">
        <v>1000000000</v>
      </c>
      <c r="AD182" s="590">
        <v>0</v>
      </c>
      <c r="AE182" s="590">
        <v>0</v>
      </c>
      <c r="AF182" s="590">
        <v>23616000</v>
      </c>
      <c r="AG182" s="590">
        <f t="shared" ref="AG182" si="123">SUM(AA182:AF182)</f>
        <v>1200000000</v>
      </c>
      <c r="AH182" s="590">
        <f t="shared" ref="AH182:AL182" si="124">AA182*1.035</f>
        <v>182557440</v>
      </c>
      <c r="AI182" s="590">
        <f t="shared" si="124"/>
        <v>0</v>
      </c>
      <c r="AJ182" s="590">
        <f t="shared" si="124"/>
        <v>1034999999.9999999</v>
      </c>
      <c r="AK182" s="590">
        <f t="shared" si="124"/>
        <v>0</v>
      </c>
      <c r="AL182" s="590">
        <f t="shared" si="124"/>
        <v>0</v>
      </c>
      <c r="AM182" s="590">
        <f>AF182*1.035</f>
        <v>24442559.999999996</v>
      </c>
      <c r="AN182" s="590">
        <f t="shared" ref="AN182" si="125">SUM(AH182:AM182)</f>
        <v>1242000000</v>
      </c>
      <c r="AO182" s="590">
        <f t="shared" ref="AO182:AS182" si="126">AH182*1.035</f>
        <v>188946950.39999998</v>
      </c>
      <c r="AP182" s="590">
        <f t="shared" si="126"/>
        <v>0</v>
      </c>
      <c r="AQ182" s="590">
        <f t="shared" si="126"/>
        <v>1071224999.9999998</v>
      </c>
      <c r="AR182" s="590">
        <f t="shared" si="126"/>
        <v>0</v>
      </c>
      <c r="AS182" s="590">
        <f t="shared" si="126"/>
        <v>0</v>
      </c>
      <c r="AT182" s="590">
        <f>AM182*1.035</f>
        <v>25298049.599999994</v>
      </c>
      <c r="AU182" s="590">
        <f t="shared" ref="AU182" si="127">SUM(AO182:AT182)</f>
        <v>1285469999.9999995</v>
      </c>
      <c r="AV182" s="590">
        <f t="shared" ref="AV182:AZ182" si="128">AO182*1.035</f>
        <v>195560093.66399997</v>
      </c>
      <c r="AW182" s="590">
        <f t="shared" si="128"/>
        <v>0</v>
      </c>
      <c r="AX182" s="590">
        <f t="shared" si="128"/>
        <v>1108717874.9999998</v>
      </c>
      <c r="AY182" s="590">
        <f t="shared" si="128"/>
        <v>0</v>
      </c>
      <c r="AZ182" s="590">
        <f t="shared" si="128"/>
        <v>0</v>
      </c>
      <c r="BA182" s="590">
        <f>AT182*1.035</f>
        <v>26183481.335999992</v>
      </c>
      <c r="BB182" s="590">
        <f t="shared" ref="BB182" si="129">SUM(AV182:BA182)</f>
        <v>1330461449.9999998</v>
      </c>
      <c r="BC182" s="658">
        <f t="shared" ref="BC182" si="130">+BB182+AU182+AN182+AG182</f>
        <v>5057931449.999999</v>
      </c>
      <c r="BD182" s="301"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8" t="s">
        <v>1130</v>
      </c>
      <c r="EN182" s="274" t="s">
        <v>1131</v>
      </c>
      <c r="EO182" s="274">
        <v>184</v>
      </c>
      <c r="EP182" s="274">
        <v>300</v>
      </c>
      <c r="EQ182" s="275">
        <v>0</v>
      </c>
      <c r="ER182" s="840">
        <v>58</v>
      </c>
      <c r="ES182" s="840">
        <v>58</v>
      </c>
      <c r="ET182" s="826">
        <v>0</v>
      </c>
    </row>
    <row r="183" spans="1:150" ht="62.25" customHeight="1" x14ac:dyDescent="0.2">
      <c r="A183" s="277" t="s">
        <v>90</v>
      </c>
      <c r="B183" s="428" t="s">
        <v>91</v>
      </c>
      <c r="C183" s="429" t="s">
        <v>992</v>
      </c>
      <c r="D183" s="429"/>
      <c r="E183" s="8" t="s">
        <v>530</v>
      </c>
      <c r="F183" s="8" t="str">
        <f t="shared" si="100"/>
        <v>E3.P_C</v>
      </c>
      <c r="G183" s="409" t="s">
        <v>273</v>
      </c>
      <c r="H183" s="409" t="s">
        <v>408</v>
      </c>
      <c r="I183" s="456"/>
      <c r="J183" s="457" t="s">
        <v>61</v>
      </c>
      <c r="K183" s="373" t="str">
        <f t="shared" si="101"/>
        <v>E3.P_C.MR1</v>
      </c>
      <c r="L183" s="408" t="s">
        <v>381</v>
      </c>
      <c r="M183" s="409" t="s">
        <v>1129</v>
      </c>
      <c r="N183" s="374">
        <v>99</v>
      </c>
      <c r="O183" s="288">
        <v>99</v>
      </c>
      <c r="P183" s="376" t="s">
        <v>87</v>
      </c>
      <c r="Q183" s="377" t="str">
        <f t="shared" si="102"/>
        <v>E3.P_C.MR1-MP02-1</v>
      </c>
      <c r="R183" s="420" t="s">
        <v>1134</v>
      </c>
      <c r="S183" s="314" t="s">
        <v>1135</v>
      </c>
      <c r="T183" s="293">
        <v>1</v>
      </c>
      <c r="U183" s="294">
        <v>1</v>
      </c>
      <c r="V183" s="293" t="s">
        <v>102</v>
      </c>
      <c r="W183" s="321">
        <v>0.25</v>
      </c>
      <c r="X183" s="322">
        <v>0.25</v>
      </c>
      <c r="Y183" s="321">
        <v>0.25</v>
      </c>
      <c r="Z183" s="323">
        <v>0.25</v>
      </c>
      <c r="AA183" s="298"/>
      <c r="AB183" s="299"/>
      <c r="AC183" s="299"/>
      <c r="AD183" s="299"/>
      <c r="AE183" s="299"/>
      <c r="AF183" s="299"/>
      <c r="AG183" s="299"/>
      <c r="AH183" s="299"/>
      <c r="AI183" s="299"/>
      <c r="AJ183" s="299"/>
      <c r="AK183" s="299"/>
      <c r="AL183" s="299"/>
      <c r="AM183" s="299"/>
      <c r="AN183" s="299"/>
      <c r="AO183" s="299"/>
      <c r="AP183" s="299"/>
      <c r="AQ183" s="299"/>
      <c r="AR183" s="299"/>
      <c r="AS183" s="299"/>
      <c r="AT183" s="299"/>
      <c r="AU183" s="299"/>
      <c r="AV183" s="299"/>
      <c r="AW183" s="299"/>
      <c r="AX183" s="299"/>
      <c r="AY183" s="299"/>
      <c r="AZ183" s="299"/>
      <c r="BA183" s="299"/>
      <c r="BB183" s="299"/>
      <c r="BC183" s="300"/>
      <c r="BD183" s="301"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8" t="s">
        <v>1134</v>
      </c>
      <c r="EN183" s="274" t="s">
        <v>1135</v>
      </c>
      <c r="EO183" s="274">
        <v>1</v>
      </c>
      <c r="EP183" s="274">
        <v>1</v>
      </c>
      <c r="EQ183" s="329">
        <v>0.25</v>
      </c>
      <c r="ER183" s="329">
        <v>0.25</v>
      </c>
      <c r="ES183" s="329">
        <v>0.25</v>
      </c>
      <c r="ET183" s="825">
        <v>0.25</v>
      </c>
    </row>
    <row r="184" spans="1:150" ht="69" customHeight="1" thickBot="1" x14ac:dyDescent="0.25">
      <c r="A184" s="277" t="s">
        <v>90</v>
      </c>
      <c r="B184" s="428" t="s">
        <v>91</v>
      </c>
      <c r="C184" s="429" t="s">
        <v>992</v>
      </c>
      <c r="D184" s="429"/>
      <c r="E184" s="8" t="s">
        <v>530</v>
      </c>
      <c r="F184" s="8" t="str">
        <f t="shared" si="100"/>
        <v>E3.P_C</v>
      </c>
      <c r="G184" s="409" t="s">
        <v>273</v>
      </c>
      <c r="H184" s="409" t="s">
        <v>408</v>
      </c>
      <c r="I184" s="462"/>
      <c r="J184" s="463" t="s">
        <v>61</v>
      </c>
      <c r="K184" s="464" t="str">
        <f t="shared" si="101"/>
        <v>E3.P_C.MR1</v>
      </c>
      <c r="L184" s="424" t="s">
        <v>381</v>
      </c>
      <c r="M184" s="425" t="s">
        <v>1129</v>
      </c>
      <c r="N184" s="388">
        <v>99</v>
      </c>
      <c r="O184" s="426">
        <v>99</v>
      </c>
      <c r="P184" s="390" t="s">
        <v>99</v>
      </c>
      <c r="Q184" s="391" t="str">
        <f t="shared" si="102"/>
        <v>E3.P_C.MR1-MP03-1</v>
      </c>
      <c r="R184" s="475" t="s">
        <v>1138</v>
      </c>
      <c r="S184" s="337" t="s">
        <v>1139</v>
      </c>
      <c r="T184" s="350">
        <v>3610</v>
      </c>
      <c r="U184" s="351">
        <v>3610</v>
      </c>
      <c r="V184" s="350" t="s">
        <v>102</v>
      </c>
      <c r="W184" s="352">
        <v>610</v>
      </c>
      <c r="X184" s="353">
        <v>1000</v>
      </c>
      <c r="Y184" s="352">
        <v>1000</v>
      </c>
      <c r="Z184" s="354">
        <v>1000</v>
      </c>
      <c r="AA184" s="298"/>
      <c r="AB184" s="299"/>
      <c r="AC184" s="299"/>
      <c r="AD184" s="299"/>
      <c r="AE184" s="299"/>
      <c r="AF184" s="299"/>
      <c r="AG184" s="299"/>
      <c r="AH184" s="299"/>
      <c r="AI184" s="299"/>
      <c r="AJ184" s="299"/>
      <c r="AK184" s="299"/>
      <c r="AL184" s="299"/>
      <c r="AM184" s="299"/>
      <c r="AN184" s="299"/>
      <c r="AO184" s="299"/>
      <c r="AP184" s="299"/>
      <c r="AQ184" s="299"/>
      <c r="AR184" s="299"/>
      <c r="AS184" s="299"/>
      <c r="AT184" s="299"/>
      <c r="AU184" s="299"/>
      <c r="AV184" s="299"/>
      <c r="AW184" s="299"/>
      <c r="AX184" s="299"/>
      <c r="AY184" s="299"/>
      <c r="AZ184" s="299"/>
      <c r="BA184" s="299"/>
      <c r="BB184" s="299"/>
      <c r="BC184" s="300"/>
      <c r="BD184" s="301"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8" t="s">
        <v>1138</v>
      </c>
      <c r="EN184" s="274" t="s">
        <v>1139</v>
      </c>
      <c r="EO184" s="646">
        <v>3610</v>
      </c>
      <c r="EP184" s="807">
        <v>3610</v>
      </c>
      <c r="EQ184" s="806">
        <v>3610</v>
      </c>
      <c r="ER184" s="806">
        <v>3610</v>
      </c>
      <c r="ES184" s="806">
        <v>3610</v>
      </c>
      <c r="ET184" s="836">
        <v>3610</v>
      </c>
    </row>
    <row r="185" spans="1:150" ht="153.75" customHeight="1" thickBot="1" x14ac:dyDescent="0.25">
      <c r="A185" s="277" t="s">
        <v>90</v>
      </c>
      <c r="B185" s="428" t="s">
        <v>91</v>
      </c>
      <c r="C185" s="429" t="s">
        <v>992</v>
      </c>
      <c r="D185" s="429"/>
      <c r="E185" s="8" t="s">
        <v>530</v>
      </c>
      <c r="F185" s="8" t="str">
        <f t="shared" si="100"/>
        <v>E3.P_C</v>
      </c>
      <c r="G185" s="425" t="s">
        <v>273</v>
      </c>
      <c r="H185" s="425" t="s">
        <v>408</v>
      </c>
      <c r="I185" s="660" t="s">
        <v>1142</v>
      </c>
      <c r="J185" s="661" t="s">
        <v>167</v>
      </c>
      <c r="K185" s="662" t="str">
        <f t="shared" si="101"/>
        <v>E3.P_C.MR2</v>
      </c>
      <c r="L185" s="575" t="s">
        <v>393</v>
      </c>
      <c r="M185" s="576" t="s">
        <v>1143</v>
      </c>
      <c r="N185" s="584">
        <v>2</v>
      </c>
      <c r="O185" s="663">
        <v>5</v>
      </c>
      <c r="P185" s="243" t="s">
        <v>64</v>
      </c>
      <c r="Q185" s="25" t="str">
        <f t="shared" si="102"/>
        <v>E3.P_C.MR2-MP01-1</v>
      </c>
      <c r="R185" s="576" t="s">
        <v>1144</v>
      </c>
      <c r="S185" s="664" t="s">
        <v>305</v>
      </c>
      <c r="T185" s="252">
        <v>0</v>
      </c>
      <c r="U185" s="577">
        <v>1</v>
      </c>
      <c r="V185" s="252" t="s">
        <v>67</v>
      </c>
      <c r="W185" s="665">
        <v>0.25</v>
      </c>
      <c r="X185" s="666">
        <v>0.25</v>
      </c>
      <c r="Y185" s="665">
        <v>0.25</v>
      </c>
      <c r="Z185" s="667">
        <v>0.25</v>
      </c>
      <c r="AA185" s="298"/>
      <c r="AB185" s="299"/>
      <c r="AC185" s="299"/>
      <c r="AD185" s="299"/>
      <c r="AE185" s="299"/>
      <c r="AF185" s="299"/>
      <c r="AG185" s="299"/>
      <c r="AH185" s="299"/>
      <c r="AI185" s="299"/>
      <c r="AJ185" s="299"/>
      <c r="AK185" s="299"/>
      <c r="AL185" s="299"/>
      <c r="AM185" s="299"/>
      <c r="AN185" s="299"/>
      <c r="AO185" s="299"/>
      <c r="AP185" s="299"/>
      <c r="AQ185" s="299"/>
      <c r="AR185" s="299"/>
      <c r="AS185" s="299"/>
      <c r="AT185" s="299"/>
      <c r="AU185" s="299"/>
      <c r="AV185" s="299"/>
      <c r="AW185" s="299"/>
      <c r="AX185" s="299"/>
      <c r="AY185" s="299"/>
      <c r="AZ185" s="299"/>
      <c r="BA185" s="299"/>
      <c r="BB185" s="299"/>
      <c r="BC185" s="300"/>
      <c r="BD185" s="301"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8" t="s">
        <v>1144</v>
      </c>
      <c r="EN185" s="274" t="s">
        <v>305</v>
      </c>
      <c r="EO185" s="274">
        <v>0</v>
      </c>
      <c r="EP185" s="274">
        <v>1</v>
      </c>
      <c r="EQ185" s="329">
        <v>0.25</v>
      </c>
      <c r="ER185" s="843">
        <v>0</v>
      </c>
      <c r="ES185" s="843">
        <v>0</v>
      </c>
      <c r="ET185" s="844">
        <v>0.75</v>
      </c>
    </row>
    <row r="186" spans="1:150" ht="118.5" customHeight="1" x14ac:dyDescent="0.2">
      <c r="A186" s="277" t="s">
        <v>90</v>
      </c>
      <c r="B186" s="428" t="s">
        <v>91</v>
      </c>
      <c r="C186" s="429" t="s">
        <v>992</v>
      </c>
      <c r="D186" s="430" t="s">
        <v>827</v>
      </c>
      <c r="E186" s="3" t="s">
        <v>641</v>
      </c>
      <c r="F186" s="431" t="str">
        <f t="shared" si="100"/>
        <v>E3.P_D</v>
      </c>
      <c r="G186" s="432" t="s">
        <v>284</v>
      </c>
      <c r="H186" s="477" t="s">
        <v>430</v>
      </c>
      <c r="I186" s="453" t="s">
        <v>1147</v>
      </c>
      <c r="J186" s="454" t="s">
        <v>61</v>
      </c>
      <c r="K186" s="455" t="str">
        <f t="shared" si="101"/>
        <v>E3.P_D.MR1</v>
      </c>
      <c r="L186" s="514" t="s">
        <v>404</v>
      </c>
      <c r="M186" s="515" t="s">
        <v>1148</v>
      </c>
      <c r="N186" s="479">
        <v>0</v>
      </c>
      <c r="O186" s="479">
        <v>6</v>
      </c>
      <c r="P186" s="642" t="s">
        <v>64</v>
      </c>
      <c r="Q186" s="481" t="str">
        <f t="shared" si="102"/>
        <v>E3.P_D.MR1-MP01-1</v>
      </c>
      <c r="R186" s="621" t="s">
        <v>1149</v>
      </c>
      <c r="S186" s="519" t="s">
        <v>1150</v>
      </c>
      <c r="T186" s="520">
        <v>0</v>
      </c>
      <c r="U186" s="521">
        <v>1</v>
      </c>
      <c r="V186" s="520" t="s">
        <v>67</v>
      </c>
      <c r="W186" s="624">
        <v>0.5</v>
      </c>
      <c r="X186" s="625">
        <v>0.5</v>
      </c>
      <c r="Y186" s="522">
        <v>0</v>
      </c>
      <c r="Z186" s="668">
        <v>0</v>
      </c>
      <c r="AA186" s="589">
        <f>99000000+100000000+110000000-163150612</f>
        <v>145849388</v>
      </c>
      <c r="AB186" s="590">
        <v>0</v>
      </c>
      <c r="AC186" s="590">
        <v>0</v>
      </c>
      <c r="AD186" s="590">
        <f>49000000+5150612</f>
        <v>54150612</v>
      </c>
      <c r="AE186" s="590">
        <v>0</v>
      </c>
      <c r="AF186" s="590"/>
      <c r="AG186" s="590">
        <f t="shared" ref="AG186" si="131">SUM(AA186:AF186)</f>
        <v>200000000</v>
      </c>
      <c r="AH186" s="590">
        <f>AA186*1.035</f>
        <v>150954116.57999998</v>
      </c>
      <c r="AI186" s="590">
        <f>AB186*1.035</f>
        <v>0</v>
      </c>
      <c r="AJ186" s="590">
        <v>293000000</v>
      </c>
      <c r="AK186" s="590">
        <f>AD186*1.035</f>
        <v>56045883.419999994</v>
      </c>
      <c r="AL186" s="590">
        <f t="shared" ref="AL186" si="132">AE186*1.035</f>
        <v>0</v>
      </c>
      <c r="AM186" s="590">
        <f>AF186*1.035</f>
        <v>0</v>
      </c>
      <c r="AN186" s="590">
        <f t="shared" ref="AN186" si="133">SUM(AH186:AM186)</f>
        <v>500000000</v>
      </c>
      <c r="AO186" s="590">
        <f t="shared" ref="AO186:AT186" si="134">+AH186</f>
        <v>150954116.57999998</v>
      </c>
      <c r="AP186" s="590">
        <f t="shared" si="134"/>
        <v>0</v>
      </c>
      <c r="AQ186" s="590">
        <f t="shared" si="134"/>
        <v>293000000</v>
      </c>
      <c r="AR186" s="590">
        <f t="shared" si="134"/>
        <v>56045883.419999994</v>
      </c>
      <c r="AS186" s="590">
        <f t="shared" si="134"/>
        <v>0</v>
      </c>
      <c r="AT186" s="590">
        <f t="shared" si="134"/>
        <v>0</v>
      </c>
      <c r="AU186" s="590">
        <f t="shared" ref="AU186" si="135">SUM(AO186:AT186)</f>
        <v>500000000</v>
      </c>
      <c r="AV186" s="590">
        <f t="shared" ref="AV186:BA186" si="136">+AA186</f>
        <v>145849388</v>
      </c>
      <c r="AW186" s="590">
        <f t="shared" si="136"/>
        <v>0</v>
      </c>
      <c r="AX186" s="590">
        <f t="shared" si="136"/>
        <v>0</v>
      </c>
      <c r="AY186" s="590">
        <f t="shared" si="136"/>
        <v>54150612</v>
      </c>
      <c r="AZ186" s="590">
        <f t="shared" si="136"/>
        <v>0</v>
      </c>
      <c r="BA186" s="590">
        <f t="shared" si="136"/>
        <v>0</v>
      </c>
      <c r="BB186" s="590">
        <f t="shared" ref="BB186" si="137">SUM(AV186:BA186)</f>
        <v>200000000</v>
      </c>
      <c r="BC186" s="658">
        <f t="shared" ref="BC186" si="138">+BB186+AU186+AN186+AG186</f>
        <v>1400000000</v>
      </c>
      <c r="BD186" s="301"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8" t="s">
        <v>1149</v>
      </c>
      <c r="EN186" s="274" t="s">
        <v>1150</v>
      </c>
      <c r="EO186" s="274">
        <v>0</v>
      </c>
      <c r="EP186" s="274">
        <v>1</v>
      </c>
      <c r="EQ186" s="276">
        <v>0.5</v>
      </c>
      <c r="ER186" s="815">
        <v>0.3</v>
      </c>
      <c r="ES186" s="815">
        <v>0.2</v>
      </c>
      <c r="ET186" s="826">
        <v>0</v>
      </c>
    </row>
    <row r="187" spans="1:150" ht="39.75" customHeight="1" x14ac:dyDescent="0.2">
      <c r="A187" s="277" t="s">
        <v>90</v>
      </c>
      <c r="B187" s="428" t="s">
        <v>91</v>
      </c>
      <c r="C187" s="429" t="s">
        <v>992</v>
      </c>
      <c r="D187" s="429"/>
      <c r="E187" s="8" t="s">
        <v>641</v>
      </c>
      <c r="F187" s="281" t="str">
        <f t="shared" si="100"/>
        <v>E3.P_D</v>
      </c>
      <c r="G187" s="452" t="s">
        <v>284</v>
      </c>
      <c r="H187" s="452" t="s">
        <v>430</v>
      </c>
      <c r="I187" s="456"/>
      <c r="J187" s="457" t="s">
        <v>61</v>
      </c>
      <c r="K187" s="373" t="str">
        <f t="shared" si="101"/>
        <v>E3.P_D.MR1</v>
      </c>
      <c r="L187" s="408" t="s">
        <v>404</v>
      </c>
      <c r="M187" s="409" t="s">
        <v>1148</v>
      </c>
      <c r="N187" s="491">
        <v>0</v>
      </c>
      <c r="O187" s="491">
        <v>6</v>
      </c>
      <c r="P187" s="480" t="s">
        <v>87</v>
      </c>
      <c r="Q187" s="492" t="str">
        <f t="shared" si="102"/>
        <v>E3.P_D.MR1-MP02-1</v>
      </c>
      <c r="R187" s="627" t="s">
        <v>1154</v>
      </c>
      <c r="S187" s="528" t="s">
        <v>1155</v>
      </c>
      <c r="T187" s="529">
        <v>0</v>
      </c>
      <c r="U187" s="539">
        <v>1</v>
      </c>
      <c r="V187" s="538" t="s">
        <v>67</v>
      </c>
      <c r="W187" s="531">
        <v>0.1</v>
      </c>
      <c r="X187" s="532">
        <v>0.3</v>
      </c>
      <c r="Y187" s="531">
        <v>0.3</v>
      </c>
      <c r="Z187" s="540">
        <v>0.3</v>
      </c>
      <c r="AA187" s="541"/>
      <c r="AB187" s="542"/>
      <c r="AC187" s="542"/>
      <c r="AD187" s="542"/>
      <c r="AE187" s="542"/>
      <c r="AF187" s="542"/>
      <c r="AG187" s="542"/>
      <c r="AH187" s="542"/>
      <c r="AI187" s="542"/>
      <c r="AJ187" s="542"/>
      <c r="AK187" s="542"/>
      <c r="AL187" s="542"/>
      <c r="AM187" s="542"/>
      <c r="AN187" s="542"/>
      <c r="AO187" s="542"/>
      <c r="AP187" s="542"/>
      <c r="AQ187" s="542"/>
      <c r="AR187" s="542"/>
      <c r="AS187" s="542"/>
      <c r="AT187" s="542"/>
      <c r="AU187" s="542"/>
      <c r="AV187" s="542"/>
      <c r="AW187" s="542"/>
      <c r="AX187" s="542"/>
      <c r="AY187" s="542"/>
      <c r="AZ187" s="542"/>
      <c r="BA187" s="542"/>
      <c r="BB187" s="542"/>
      <c r="BC187" s="543"/>
      <c r="BD187" s="301"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8" t="s">
        <v>1154</v>
      </c>
      <c r="EN187" s="274" t="s">
        <v>1155</v>
      </c>
      <c r="EO187" s="274">
        <v>0</v>
      </c>
      <c r="EP187" s="276">
        <v>100</v>
      </c>
      <c r="EQ187" s="276">
        <v>10</v>
      </c>
      <c r="ER187" s="276">
        <v>30</v>
      </c>
      <c r="ES187" s="276">
        <v>30</v>
      </c>
      <c r="ET187" s="829">
        <v>30</v>
      </c>
    </row>
    <row r="188" spans="1:150" ht="40.5" customHeight="1" x14ac:dyDescent="0.2">
      <c r="A188" s="277" t="s">
        <v>90</v>
      </c>
      <c r="B188" s="428" t="s">
        <v>91</v>
      </c>
      <c r="C188" s="429" t="s">
        <v>992</v>
      </c>
      <c r="D188" s="429"/>
      <c r="E188" s="8" t="s">
        <v>641</v>
      </c>
      <c r="F188" s="281" t="str">
        <f t="shared" si="100"/>
        <v>E3.P_D</v>
      </c>
      <c r="G188" s="452" t="s">
        <v>284</v>
      </c>
      <c r="H188" s="452" t="s">
        <v>430</v>
      </c>
      <c r="I188" s="456"/>
      <c r="J188" s="457" t="s">
        <v>61</v>
      </c>
      <c r="K188" s="373" t="str">
        <f t="shared" si="101"/>
        <v>E3.P_D.MR1</v>
      </c>
      <c r="L188" s="408" t="s">
        <v>404</v>
      </c>
      <c r="M188" s="409" t="s">
        <v>1148</v>
      </c>
      <c r="N188" s="491">
        <v>0</v>
      </c>
      <c r="O188" s="491">
        <v>6</v>
      </c>
      <c r="P188" s="480" t="s">
        <v>99</v>
      </c>
      <c r="Q188" s="492" t="str">
        <f t="shared" si="102"/>
        <v>E3.P_D.MR1-MP03-1</v>
      </c>
      <c r="R188" s="627" t="s">
        <v>1158</v>
      </c>
      <c r="S188" s="528" t="s">
        <v>1159</v>
      </c>
      <c r="T188" s="669">
        <v>0</v>
      </c>
      <c r="U188" s="670">
        <v>1</v>
      </c>
      <c r="V188" s="669" t="s">
        <v>67</v>
      </c>
      <c r="W188" s="533">
        <v>0</v>
      </c>
      <c r="X188" s="532">
        <v>0.5</v>
      </c>
      <c r="Y188" s="531">
        <v>0.5</v>
      </c>
      <c r="Z188" s="534">
        <v>0</v>
      </c>
      <c r="AA188" s="671"/>
      <c r="AB188" s="672"/>
      <c r="AC188" s="672"/>
      <c r="AD188" s="672"/>
      <c r="AE188" s="672"/>
      <c r="AF188" s="672"/>
      <c r="AG188" s="672"/>
      <c r="AH188" s="672"/>
      <c r="AI188" s="672"/>
      <c r="AJ188" s="672"/>
      <c r="AK188" s="672"/>
      <c r="AL188" s="672"/>
      <c r="AM188" s="672"/>
      <c r="AN188" s="672"/>
      <c r="AO188" s="672"/>
      <c r="AP188" s="672"/>
      <c r="AQ188" s="672"/>
      <c r="AR188" s="672"/>
      <c r="AS188" s="672"/>
      <c r="AT188" s="672"/>
      <c r="AU188" s="672"/>
      <c r="AV188" s="672"/>
      <c r="AW188" s="672"/>
      <c r="AX188" s="672"/>
      <c r="AY188" s="672"/>
      <c r="AZ188" s="672"/>
      <c r="BA188" s="672"/>
      <c r="BB188" s="672"/>
      <c r="BC188" s="673"/>
      <c r="BD188" s="301"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8" t="s">
        <v>1158</v>
      </c>
      <c r="EN188" s="274" t="s">
        <v>1159</v>
      </c>
      <c r="EO188" s="385">
        <v>0</v>
      </c>
      <c r="EP188" s="385">
        <v>1</v>
      </c>
      <c r="EQ188" s="275">
        <v>0</v>
      </c>
      <c r="ER188" s="815">
        <v>0.3</v>
      </c>
      <c r="ES188" s="815">
        <v>0.4</v>
      </c>
      <c r="ET188" s="824">
        <v>0.3</v>
      </c>
    </row>
    <row r="189" spans="1:150" ht="36" customHeight="1" x14ac:dyDescent="0.2">
      <c r="A189" s="277" t="s">
        <v>90</v>
      </c>
      <c r="B189" s="428" t="s">
        <v>91</v>
      </c>
      <c r="C189" s="429" t="s">
        <v>992</v>
      </c>
      <c r="D189" s="429"/>
      <c r="E189" s="8" t="s">
        <v>641</v>
      </c>
      <c r="F189" s="281" t="str">
        <f t="shared" si="100"/>
        <v>E3.P_D</v>
      </c>
      <c r="G189" s="452" t="s">
        <v>284</v>
      </c>
      <c r="H189" s="452" t="s">
        <v>430</v>
      </c>
      <c r="I189" s="456"/>
      <c r="J189" s="457" t="s">
        <v>61</v>
      </c>
      <c r="K189" s="373" t="str">
        <f t="shared" si="101"/>
        <v>E3.P_D.MR1</v>
      </c>
      <c r="L189" s="408" t="s">
        <v>404</v>
      </c>
      <c r="M189" s="409" t="s">
        <v>1148</v>
      </c>
      <c r="N189" s="491">
        <v>0</v>
      </c>
      <c r="O189" s="491">
        <v>6</v>
      </c>
      <c r="P189" s="480" t="s">
        <v>112</v>
      </c>
      <c r="Q189" s="492" t="str">
        <f t="shared" si="102"/>
        <v>E3.P_D.MR1-MP04-1</v>
      </c>
      <c r="R189" s="627" t="s">
        <v>1162</v>
      </c>
      <c r="S189" s="528" t="s">
        <v>1163</v>
      </c>
      <c r="T189" s="669">
        <v>0</v>
      </c>
      <c r="U189" s="670">
        <v>2</v>
      </c>
      <c r="V189" s="669" t="s">
        <v>67</v>
      </c>
      <c r="W189" s="531">
        <v>0.5</v>
      </c>
      <c r="X189" s="674">
        <v>1</v>
      </c>
      <c r="Y189" s="531">
        <v>0.5</v>
      </c>
      <c r="Z189" s="534">
        <v>0</v>
      </c>
      <c r="AA189" s="671"/>
      <c r="AB189" s="672"/>
      <c r="AC189" s="672"/>
      <c r="AD189" s="672"/>
      <c r="AE189" s="672"/>
      <c r="AF189" s="672"/>
      <c r="AG189" s="672"/>
      <c r="AH189" s="672"/>
      <c r="AI189" s="672"/>
      <c r="AJ189" s="672"/>
      <c r="AK189" s="672"/>
      <c r="AL189" s="672"/>
      <c r="AM189" s="672"/>
      <c r="AN189" s="672"/>
      <c r="AO189" s="672"/>
      <c r="AP189" s="672"/>
      <c r="AQ189" s="672"/>
      <c r="AR189" s="672"/>
      <c r="AS189" s="672"/>
      <c r="AT189" s="672"/>
      <c r="AU189" s="672"/>
      <c r="AV189" s="672"/>
      <c r="AW189" s="672"/>
      <c r="AX189" s="672"/>
      <c r="AY189" s="672"/>
      <c r="AZ189" s="672"/>
      <c r="BA189" s="672"/>
      <c r="BB189" s="672"/>
      <c r="BC189" s="673"/>
      <c r="BD189" s="301"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8" t="s">
        <v>1162</v>
      </c>
      <c r="EN189" s="274" t="s">
        <v>1163</v>
      </c>
      <c r="EO189" s="385">
        <v>0</v>
      </c>
      <c r="EP189" s="385">
        <v>2</v>
      </c>
      <c r="EQ189" s="276">
        <v>0</v>
      </c>
      <c r="ER189" s="815">
        <v>0.5</v>
      </c>
      <c r="ES189" s="276">
        <v>1</v>
      </c>
      <c r="ET189" s="824">
        <v>0.5</v>
      </c>
    </row>
    <row r="190" spans="1:150" ht="50.25" customHeight="1" thickBot="1" x14ac:dyDescent="0.25">
      <c r="A190" s="277" t="s">
        <v>90</v>
      </c>
      <c r="B190" s="428" t="s">
        <v>91</v>
      </c>
      <c r="C190" s="429" t="s">
        <v>992</v>
      </c>
      <c r="D190" s="429"/>
      <c r="E190" s="8" t="s">
        <v>641</v>
      </c>
      <c r="F190" s="281" t="str">
        <f t="shared" si="100"/>
        <v>E3.P_D</v>
      </c>
      <c r="G190" s="452" t="s">
        <v>284</v>
      </c>
      <c r="H190" s="452" t="s">
        <v>430</v>
      </c>
      <c r="I190" s="456"/>
      <c r="J190" s="457" t="s">
        <v>61</v>
      </c>
      <c r="K190" s="373" t="str">
        <f t="shared" si="101"/>
        <v>E3.P_D.MR1</v>
      </c>
      <c r="L190" s="408" t="s">
        <v>404</v>
      </c>
      <c r="M190" s="409" t="s">
        <v>1148</v>
      </c>
      <c r="N190" s="491">
        <v>0</v>
      </c>
      <c r="O190" s="491">
        <v>6</v>
      </c>
      <c r="P190" s="653" t="s">
        <v>122</v>
      </c>
      <c r="Q190" s="492" t="str">
        <f t="shared" si="102"/>
        <v>E3.P_D.MR1-MP05-1</v>
      </c>
      <c r="R190" s="627" t="s">
        <v>1166</v>
      </c>
      <c r="S190" s="528" t="s">
        <v>1167</v>
      </c>
      <c r="T190" s="669">
        <v>0</v>
      </c>
      <c r="U190" s="670">
        <v>1</v>
      </c>
      <c r="V190" s="669" t="s">
        <v>67</v>
      </c>
      <c r="W190" s="544">
        <v>0.25</v>
      </c>
      <c r="X190" s="545">
        <v>0.25</v>
      </c>
      <c r="Y190" s="544">
        <v>0.25</v>
      </c>
      <c r="Z190" s="546">
        <v>0.25</v>
      </c>
      <c r="AA190" s="671"/>
      <c r="AB190" s="672"/>
      <c r="AC190" s="672"/>
      <c r="AD190" s="672"/>
      <c r="AE190" s="672"/>
      <c r="AF190" s="672"/>
      <c r="AG190" s="672"/>
      <c r="AH190" s="672"/>
      <c r="AI190" s="672"/>
      <c r="AJ190" s="672"/>
      <c r="AK190" s="672"/>
      <c r="AL190" s="672"/>
      <c r="AM190" s="672"/>
      <c r="AN190" s="672"/>
      <c r="AO190" s="672"/>
      <c r="AP190" s="672"/>
      <c r="AQ190" s="672"/>
      <c r="AR190" s="672"/>
      <c r="AS190" s="672"/>
      <c r="AT190" s="672"/>
      <c r="AU190" s="672"/>
      <c r="AV190" s="672"/>
      <c r="AW190" s="672"/>
      <c r="AX190" s="672"/>
      <c r="AY190" s="672"/>
      <c r="AZ190" s="672"/>
      <c r="BA190" s="672"/>
      <c r="BB190" s="672"/>
      <c r="BC190" s="673"/>
      <c r="BD190" s="301"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8" t="s">
        <v>1166</v>
      </c>
      <c r="EN190" s="274" t="s">
        <v>1167</v>
      </c>
      <c r="EO190" s="385">
        <v>0</v>
      </c>
      <c r="EP190" s="385">
        <v>1</v>
      </c>
      <c r="EQ190" s="329">
        <v>0.25</v>
      </c>
      <c r="ER190" s="329">
        <v>0.25</v>
      </c>
      <c r="ES190" s="329">
        <v>0.25</v>
      </c>
      <c r="ET190" s="825">
        <v>0.25</v>
      </c>
    </row>
    <row r="191" spans="1:150" ht="34.5" customHeight="1" thickBot="1" x14ac:dyDescent="0.25">
      <c r="A191" s="277" t="s">
        <v>90</v>
      </c>
      <c r="B191" s="428" t="s">
        <v>91</v>
      </c>
      <c r="C191" s="429" t="s">
        <v>992</v>
      </c>
      <c r="D191" s="429"/>
      <c r="E191" s="8" t="s">
        <v>641</v>
      </c>
      <c r="F191" s="281" t="str">
        <f t="shared" si="100"/>
        <v>E3.P_D</v>
      </c>
      <c r="G191" s="569" t="s">
        <v>284</v>
      </c>
      <c r="H191" s="569" t="s">
        <v>430</v>
      </c>
      <c r="I191" s="462"/>
      <c r="J191" s="463" t="s">
        <v>61</v>
      </c>
      <c r="K191" s="464" t="str">
        <f t="shared" si="101"/>
        <v>E3.P_D.MR1</v>
      </c>
      <c r="L191" s="424" t="s">
        <v>404</v>
      </c>
      <c r="M191" s="425" t="s">
        <v>1148</v>
      </c>
      <c r="N191" s="497">
        <v>0</v>
      </c>
      <c r="O191" s="497">
        <v>6</v>
      </c>
      <c r="P191" s="675" t="s">
        <v>132</v>
      </c>
      <c r="Q191" s="498" t="str">
        <f t="shared" si="102"/>
        <v>E3.P_D.MR1-MP06-1</v>
      </c>
      <c r="R191" s="628" t="s">
        <v>1170</v>
      </c>
      <c r="S191" s="551" t="s">
        <v>1171</v>
      </c>
      <c r="T191" s="676">
        <v>435</v>
      </c>
      <c r="U191" s="677">
        <v>450</v>
      </c>
      <c r="V191" s="676" t="s">
        <v>67</v>
      </c>
      <c r="W191" s="554">
        <v>3</v>
      </c>
      <c r="X191" s="555">
        <v>7</v>
      </c>
      <c r="Y191" s="554">
        <v>3</v>
      </c>
      <c r="Z191" s="556">
        <v>2</v>
      </c>
      <c r="AA191" s="671"/>
      <c r="AB191" s="672"/>
      <c r="AC191" s="672"/>
      <c r="AD191" s="672"/>
      <c r="AE191" s="672"/>
      <c r="AF191" s="672"/>
      <c r="AG191" s="672"/>
      <c r="AH191" s="672"/>
      <c r="AI191" s="672"/>
      <c r="AJ191" s="672"/>
      <c r="AK191" s="672"/>
      <c r="AL191" s="672"/>
      <c r="AM191" s="672"/>
      <c r="AN191" s="672"/>
      <c r="AO191" s="672"/>
      <c r="AP191" s="672"/>
      <c r="AQ191" s="672"/>
      <c r="AR191" s="672"/>
      <c r="AS191" s="672"/>
      <c r="AT191" s="672"/>
      <c r="AU191" s="672"/>
      <c r="AV191" s="672"/>
      <c r="AW191" s="672"/>
      <c r="AX191" s="672"/>
      <c r="AY191" s="672"/>
      <c r="AZ191" s="672"/>
      <c r="BA191" s="672"/>
      <c r="BB191" s="672"/>
      <c r="BC191" s="673"/>
      <c r="BD191" s="301"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8" t="s">
        <v>1170</v>
      </c>
      <c r="EN191" s="274" t="s">
        <v>1171</v>
      </c>
      <c r="EO191" s="837">
        <v>435</v>
      </c>
      <c r="EP191" s="837">
        <v>450</v>
      </c>
      <c r="EQ191" s="806">
        <v>1</v>
      </c>
      <c r="ER191" s="814">
        <v>3</v>
      </c>
      <c r="ES191" s="814">
        <v>9</v>
      </c>
      <c r="ET191" s="836">
        <v>2</v>
      </c>
    </row>
    <row r="192" spans="1:150" ht="117.75" customHeight="1" x14ac:dyDescent="0.2">
      <c r="A192" s="277" t="s">
        <v>90</v>
      </c>
      <c r="B192" s="428" t="s">
        <v>91</v>
      </c>
      <c r="C192" s="429" t="s">
        <v>992</v>
      </c>
      <c r="D192" s="430" t="s">
        <v>1174</v>
      </c>
      <c r="E192" s="8" t="s">
        <v>641</v>
      </c>
      <c r="F192" s="281" t="str">
        <f t="shared" si="100"/>
        <v>E3.P_D</v>
      </c>
      <c r="G192" s="452" t="s">
        <v>284</v>
      </c>
      <c r="H192" s="452" t="s">
        <v>430</v>
      </c>
      <c r="I192" s="453" t="s">
        <v>1175</v>
      </c>
      <c r="J192" s="454" t="s">
        <v>167</v>
      </c>
      <c r="K192" s="455" t="str">
        <f t="shared" si="101"/>
        <v>E3.P_D.MR2</v>
      </c>
      <c r="L192" s="678" t="s">
        <v>415</v>
      </c>
      <c r="M192" s="679" t="s">
        <v>1148</v>
      </c>
      <c r="N192" s="247">
        <v>0</v>
      </c>
      <c r="O192" s="247">
        <v>4</v>
      </c>
      <c r="P192" s="364" t="s">
        <v>64</v>
      </c>
      <c r="Q192" s="365" t="str">
        <f t="shared" si="102"/>
        <v>E3.P_D.MR2-MP01-1</v>
      </c>
      <c r="R192" s="416" t="s">
        <v>1176</v>
      </c>
      <c r="S192" s="367" t="s">
        <v>1177</v>
      </c>
      <c r="T192" s="368">
        <v>0</v>
      </c>
      <c r="U192" s="369">
        <v>1</v>
      </c>
      <c r="V192" s="368" t="s">
        <v>67</v>
      </c>
      <c r="W192" s="255">
        <v>1</v>
      </c>
      <c r="X192" s="370">
        <v>1</v>
      </c>
      <c r="Y192" s="255">
        <v>1</v>
      </c>
      <c r="Z192" s="371">
        <v>1</v>
      </c>
      <c r="AA192" s="298"/>
      <c r="AB192" s="299"/>
      <c r="AC192" s="299"/>
      <c r="AD192" s="299"/>
      <c r="AE192" s="299"/>
      <c r="AF192" s="299"/>
      <c r="AG192" s="299"/>
      <c r="AH192" s="299"/>
      <c r="AI192" s="299"/>
      <c r="AJ192" s="299"/>
      <c r="AK192" s="299"/>
      <c r="AL192" s="299"/>
      <c r="AM192" s="299"/>
      <c r="AN192" s="299"/>
      <c r="AO192" s="299"/>
      <c r="AP192" s="299"/>
      <c r="AQ192" s="299"/>
      <c r="AR192" s="299"/>
      <c r="AS192" s="299"/>
      <c r="AT192" s="299"/>
      <c r="AU192" s="299"/>
      <c r="AV192" s="299"/>
      <c r="AW192" s="299"/>
      <c r="AX192" s="299"/>
      <c r="AY192" s="299"/>
      <c r="AZ192" s="299"/>
      <c r="BA192" s="299"/>
      <c r="BB192" s="299"/>
      <c r="BC192" s="300"/>
      <c r="BD192" s="301"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8" t="s">
        <v>1176</v>
      </c>
      <c r="EN192" s="274" t="s">
        <v>1177</v>
      </c>
      <c r="EO192" s="274">
        <v>0</v>
      </c>
      <c r="EP192" s="274">
        <v>1</v>
      </c>
      <c r="EQ192" s="275">
        <v>1</v>
      </c>
      <c r="ER192" s="275">
        <v>1</v>
      </c>
      <c r="ES192" s="275">
        <v>1</v>
      </c>
      <c r="ET192" s="826">
        <v>1</v>
      </c>
    </row>
    <row r="193" spans="1:150" ht="47.25" customHeight="1" x14ac:dyDescent="0.2">
      <c r="A193" s="277" t="s">
        <v>90</v>
      </c>
      <c r="B193" s="428" t="s">
        <v>91</v>
      </c>
      <c r="C193" s="429" t="s">
        <v>992</v>
      </c>
      <c r="D193" s="429"/>
      <c r="E193" s="8" t="s">
        <v>641</v>
      </c>
      <c r="F193" s="281" t="str">
        <f t="shared" si="100"/>
        <v>E3.P_D</v>
      </c>
      <c r="G193" s="452" t="s">
        <v>284</v>
      </c>
      <c r="H193" s="452" t="s">
        <v>430</v>
      </c>
      <c r="I193" s="456"/>
      <c r="J193" s="457" t="s">
        <v>167</v>
      </c>
      <c r="K193" s="373" t="str">
        <f t="shared" si="101"/>
        <v>E3.P_D.MR2</v>
      </c>
      <c r="L193" s="680" t="s">
        <v>415</v>
      </c>
      <c r="M193" s="681" t="s">
        <v>1148</v>
      </c>
      <c r="N193" s="288">
        <v>0</v>
      </c>
      <c r="O193" s="288">
        <v>4</v>
      </c>
      <c r="P193" s="376" t="s">
        <v>87</v>
      </c>
      <c r="Q193" s="377" t="str">
        <f t="shared" si="102"/>
        <v>E3.P_D.MR2-MP02-1</v>
      </c>
      <c r="R193" s="420" t="s">
        <v>1180</v>
      </c>
      <c r="S193" s="314" t="s">
        <v>1181</v>
      </c>
      <c r="T193" s="293">
        <v>0</v>
      </c>
      <c r="U193" s="294">
        <v>1</v>
      </c>
      <c r="V193" s="293" t="s">
        <v>67</v>
      </c>
      <c r="W193" s="295">
        <v>1</v>
      </c>
      <c r="X193" s="296">
        <v>1</v>
      </c>
      <c r="Y193" s="295">
        <v>1</v>
      </c>
      <c r="Z193" s="297">
        <v>1</v>
      </c>
      <c r="AA193" s="298"/>
      <c r="AB193" s="299"/>
      <c r="AC193" s="299"/>
      <c r="AD193" s="299"/>
      <c r="AE193" s="299"/>
      <c r="AF193" s="299"/>
      <c r="AG193" s="299"/>
      <c r="AH193" s="299"/>
      <c r="AI193" s="299"/>
      <c r="AJ193" s="299"/>
      <c r="AK193" s="299"/>
      <c r="AL193" s="299"/>
      <c r="AM193" s="299"/>
      <c r="AN193" s="299"/>
      <c r="AO193" s="299"/>
      <c r="AP193" s="299"/>
      <c r="AQ193" s="299"/>
      <c r="AR193" s="299"/>
      <c r="AS193" s="299"/>
      <c r="AT193" s="299"/>
      <c r="AU193" s="299"/>
      <c r="AV193" s="299"/>
      <c r="AW193" s="299"/>
      <c r="AX193" s="299"/>
      <c r="AY193" s="299"/>
      <c r="AZ193" s="299"/>
      <c r="BA193" s="299"/>
      <c r="BB193" s="299"/>
      <c r="BC193" s="300"/>
      <c r="BD193" s="301"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8" t="s">
        <v>1180</v>
      </c>
      <c r="EN193" s="274" t="s">
        <v>1181</v>
      </c>
      <c r="EO193" s="274">
        <v>0</v>
      </c>
      <c r="EP193" s="274">
        <v>1</v>
      </c>
      <c r="EQ193" s="275">
        <v>1</v>
      </c>
      <c r="ER193" s="275">
        <v>1</v>
      </c>
      <c r="ES193" s="275">
        <v>1</v>
      </c>
      <c r="ET193" s="826">
        <v>1</v>
      </c>
    </row>
    <row r="194" spans="1:150" ht="66.75" customHeight="1" thickBot="1" x14ac:dyDescent="0.25">
      <c r="A194" s="277" t="s">
        <v>90</v>
      </c>
      <c r="B194" s="428" t="s">
        <v>91</v>
      </c>
      <c r="C194" s="429" t="s">
        <v>992</v>
      </c>
      <c r="D194" s="429"/>
      <c r="E194" s="8" t="s">
        <v>641</v>
      </c>
      <c r="F194" s="281" t="str">
        <f t="shared" si="100"/>
        <v>E3.P_D</v>
      </c>
      <c r="G194" s="452" t="s">
        <v>284</v>
      </c>
      <c r="H194" s="452" t="s">
        <v>430</v>
      </c>
      <c r="I194" s="462"/>
      <c r="J194" s="463" t="s">
        <v>167</v>
      </c>
      <c r="K194" s="464" t="str">
        <f t="shared" si="101"/>
        <v>E3.P_D.MR2</v>
      </c>
      <c r="L194" s="682" t="s">
        <v>415</v>
      </c>
      <c r="M194" s="683" t="s">
        <v>1148</v>
      </c>
      <c r="N194" s="426">
        <v>0</v>
      </c>
      <c r="O194" s="426">
        <v>4</v>
      </c>
      <c r="P194" s="390" t="s">
        <v>99</v>
      </c>
      <c r="Q194" s="391" t="str">
        <f t="shared" si="102"/>
        <v>E3.P_D.MR2-MP03-1</v>
      </c>
      <c r="R194" s="427" t="s">
        <v>1184</v>
      </c>
      <c r="S194" s="349" t="s">
        <v>1185</v>
      </c>
      <c r="T194" s="392">
        <v>2</v>
      </c>
      <c r="U194" s="393">
        <v>2</v>
      </c>
      <c r="V194" s="392" t="s">
        <v>102</v>
      </c>
      <c r="W194" s="352">
        <v>0</v>
      </c>
      <c r="X194" s="353">
        <v>1</v>
      </c>
      <c r="Y194" s="352">
        <v>1</v>
      </c>
      <c r="Z194" s="354">
        <v>1</v>
      </c>
      <c r="AA194" s="382"/>
      <c r="AB194" s="383"/>
      <c r="AC194" s="383"/>
      <c r="AD194" s="383"/>
      <c r="AE194" s="383"/>
      <c r="AF194" s="383"/>
      <c r="AG194" s="383"/>
      <c r="AH194" s="383"/>
      <c r="AI194" s="383"/>
      <c r="AJ194" s="383"/>
      <c r="AK194" s="383"/>
      <c r="AL194" s="383"/>
      <c r="AM194" s="383"/>
      <c r="AN194" s="383"/>
      <c r="AO194" s="383"/>
      <c r="AP194" s="383"/>
      <c r="AQ194" s="383"/>
      <c r="AR194" s="383"/>
      <c r="AS194" s="383"/>
      <c r="AT194" s="383"/>
      <c r="AU194" s="383"/>
      <c r="AV194" s="383"/>
      <c r="AW194" s="383"/>
      <c r="AX194" s="383"/>
      <c r="AY194" s="383"/>
      <c r="AZ194" s="383"/>
      <c r="BA194" s="383"/>
      <c r="BB194" s="383"/>
      <c r="BC194" s="384"/>
      <c r="BD194" s="301"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8" t="s">
        <v>1184</v>
      </c>
      <c r="EN194" s="274" t="s">
        <v>1185</v>
      </c>
      <c r="EO194" s="385">
        <v>2</v>
      </c>
      <c r="EP194" s="385">
        <v>2</v>
      </c>
      <c r="EQ194" s="806">
        <v>0</v>
      </c>
      <c r="ER194" s="814">
        <v>0</v>
      </c>
      <c r="ES194" s="806">
        <v>1</v>
      </c>
      <c r="ET194" s="830">
        <v>1</v>
      </c>
    </row>
    <row r="195" spans="1:150" ht="141.75" customHeight="1" x14ac:dyDescent="0.2">
      <c r="A195" s="277" t="s">
        <v>90</v>
      </c>
      <c r="B195" s="428" t="s">
        <v>91</v>
      </c>
      <c r="C195" s="429" t="s">
        <v>992</v>
      </c>
      <c r="D195" s="430" t="s">
        <v>1188</v>
      </c>
      <c r="E195" s="3" t="s">
        <v>695</v>
      </c>
      <c r="F195" s="431" t="str">
        <f t="shared" si="100"/>
        <v>E3.P_E</v>
      </c>
      <c r="G195" s="432" t="s">
        <v>295</v>
      </c>
      <c r="H195" s="477" t="s">
        <v>448</v>
      </c>
      <c r="I195" s="453" t="s">
        <v>1189</v>
      </c>
      <c r="J195" s="454" t="s">
        <v>61</v>
      </c>
      <c r="K195" s="455" t="str">
        <f t="shared" si="101"/>
        <v>E3.P_E.MR1</v>
      </c>
      <c r="L195" s="360" t="s">
        <v>426</v>
      </c>
      <c r="M195" s="361" t="s">
        <v>1190</v>
      </c>
      <c r="N195" s="362">
        <v>0</v>
      </c>
      <c r="O195" s="247">
        <v>4</v>
      </c>
      <c r="P195" s="364" t="s">
        <v>64</v>
      </c>
      <c r="Q195" s="365" t="str">
        <f t="shared" si="102"/>
        <v>E3.P_E.MR1-MP01-1</v>
      </c>
      <c r="R195" s="416" t="s">
        <v>1191</v>
      </c>
      <c r="S195" s="367" t="s">
        <v>1192</v>
      </c>
      <c r="T195" s="616">
        <v>800</v>
      </c>
      <c r="U195" s="617">
        <v>2800</v>
      </c>
      <c r="V195" s="616" t="s">
        <v>67</v>
      </c>
      <c r="W195" s="484">
        <v>85</v>
      </c>
      <c r="X195" s="485">
        <v>866</v>
      </c>
      <c r="Y195" s="484">
        <v>910</v>
      </c>
      <c r="Z195" s="486">
        <v>939</v>
      </c>
      <c r="AA195" s="589">
        <f>182600000+225000000+120000000+31000000+89684972+3351660001</f>
        <v>3999944973</v>
      </c>
      <c r="AB195" s="590">
        <v>0</v>
      </c>
      <c r="AC195" s="590">
        <v>0</v>
      </c>
      <c r="AD195" s="590">
        <v>0</v>
      </c>
      <c r="AE195" s="590">
        <v>0</v>
      </c>
      <c r="AF195" s="590">
        <v>55027</v>
      </c>
      <c r="AG195" s="590">
        <f t="shared" ref="AG195" si="139">SUM(AA195:AF195)</f>
        <v>4000000000</v>
      </c>
      <c r="AH195" s="590">
        <f>AA195*1.035</f>
        <v>4139943047.0549998</v>
      </c>
      <c r="AI195" s="590">
        <f>AB195*1.035</f>
        <v>0</v>
      </c>
      <c r="AJ195" s="590">
        <f>AC195*1.035</f>
        <v>0</v>
      </c>
      <c r="AK195" s="590">
        <f>AD195*1.035</f>
        <v>0</v>
      </c>
      <c r="AL195" s="590">
        <f t="shared" ref="AL195" si="140">AE195*1.035</f>
        <v>0</v>
      </c>
      <c r="AM195" s="590">
        <f>AF195*1.035</f>
        <v>56952.944999999992</v>
      </c>
      <c r="AN195" s="590">
        <f t="shared" ref="AN195" si="141">SUM(AH195:AM195)</f>
        <v>4140000000</v>
      </c>
      <c r="AO195" s="590">
        <f t="shared" ref="AO195:AT195" si="142">AH195*1.035</f>
        <v>4284841053.7019243</v>
      </c>
      <c r="AP195" s="590">
        <f t="shared" si="142"/>
        <v>0</v>
      </c>
      <c r="AQ195" s="590">
        <f t="shared" si="142"/>
        <v>0</v>
      </c>
      <c r="AR195" s="590">
        <f t="shared" si="142"/>
        <v>0</v>
      </c>
      <c r="AS195" s="590">
        <f t="shared" si="142"/>
        <v>0</v>
      </c>
      <c r="AT195" s="590">
        <f t="shared" si="142"/>
        <v>58946.298074999984</v>
      </c>
      <c r="AU195" s="590">
        <f t="shared" ref="AU195" si="143">SUM(AO195:AT195)</f>
        <v>4284899999.9999995</v>
      </c>
      <c r="AV195" s="590">
        <f t="shared" ref="AV195:BA195" si="144">AO195*1.035</f>
        <v>4434810490.5814915</v>
      </c>
      <c r="AW195" s="590">
        <f t="shared" si="144"/>
        <v>0</v>
      </c>
      <c r="AX195" s="590">
        <f t="shared" si="144"/>
        <v>0</v>
      </c>
      <c r="AY195" s="590">
        <f t="shared" si="144"/>
        <v>0</v>
      </c>
      <c r="AZ195" s="590">
        <f t="shared" si="144"/>
        <v>0</v>
      </c>
      <c r="BA195" s="590">
        <f t="shared" si="144"/>
        <v>61009.418507624978</v>
      </c>
      <c r="BB195" s="590">
        <f t="shared" ref="BB195" si="145">SUM(AV195:BA195)</f>
        <v>4434871499.999999</v>
      </c>
      <c r="BC195" s="658">
        <f t="shared" ref="BC195" si="146">+BB195+AU195+AN195+AG195</f>
        <v>16859771499.999998</v>
      </c>
      <c r="BD195" s="301"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8" t="s">
        <v>1191</v>
      </c>
      <c r="EN195" s="274" t="s">
        <v>1192</v>
      </c>
      <c r="EO195" s="274">
        <v>800</v>
      </c>
      <c r="EP195" s="807">
        <v>2800</v>
      </c>
      <c r="EQ195" s="806">
        <v>100</v>
      </c>
      <c r="ER195" s="815">
        <v>1</v>
      </c>
      <c r="ES195" s="814">
        <v>50</v>
      </c>
      <c r="ET195" s="830">
        <v>1849</v>
      </c>
    </row>
    <row r="196" spans="1:150" ht="36" customHeight="1" x14ac:dyDescent="0.2">
      <c r="A196" s="277" t="s">
        <v>90</v>
      </c>
      <c r="B196" s="428" t="s">
        <v>91</v>
      </c>
      <c r="C196" s="429" t="s">
        <v>992</v>
      </c>
      <c r="D196" s="429"/>
      <c r="E196" s="8" t="s">
        <v>695</v>
      </c>
      <c r="F196" s="281" t="str">
        <f t="shared" si="100"/>
        <v>E3.P_E</v>
      </c>
      <c r="G196" s="452" t="s">
        <v>295</v>
      </c>
      <c r="H196" s="452" t="s">
        <v>448</v>
      </c>
      <c r="I196" s="456"/>
      <c r="J196" s="457" t="s">
        <v>61</v>
      </c>
      <c r="K196" s="373" t="str">
        <f t="shared" si="101"/>
        <v>E3.P_E.MR1</v>
      </c>
      <c r="L196" s="408" t="s">
        <v>1195</v>
      </c>
      <c r="M196" s="409" t="s">
        <v>1190</v>
      </c>
      <c r="N196" s="374">
        <v>0</v>
      </c>
      <c r="O196" s="288">
        <v>4</v>
      </c>
      <c r="P196" s="376" t="s">
        <v>87</v>
      </c>
      <c r="Q196" s="377" t="str">
        <f t="shared" si="102"/>
        <v>E3.P_E.MR1-MP02-1</v>
      </c>
      <c r="R196" s="420" t="s">
        <v>1196</v>
      </c>
      <c r="S196" s="314" t="s">
        <v>1197</v>
      </c>
      <c r="T196" s="293">
        <v>0</v>
      </c>
      <c r="U196" s="294">
        <v>400</v>
      </c>
      <c r="V196" s="293" t="s">
        <v>67</v>
      </c>
      <c r="W196" s="295">
        <v>100</v>
      </c>
      <c r="X196" s="296">
        <v>100</v>
      </c>
      <c r="Y196" s="295">
        <v>100</v>
      </c>
      <c r="Z196" s="297">
        <v>100</v>
      </c>
      <c r="AA196" s="298"/>
      <c r="AB196" s="299"/>
      <c r="AC196" s="299"/>
      <c r="AD196" s="299"/>
      <c r="AE196" s="299"/>
      <c r="AF196" s="299"/>
      <c r="AG196" s="299"/>
      <c r="AH196" s="299"/>
      <c r="AI196" s="299"/>
      <c r="AJ196" s="299"/>
      <c r="AK196" s="299"/>
      <c r="AL196" s="299"/>
      <c r="AM196" s="299"/>
      <c r="AN196" s="299"/>
      <c r="AO196" s="299"/>
      <c r="AP196" s="299"/>
      <c r="AQ196" s="299"/>
      <c r="AR196" s="299"/>
      <c r="AS196" s="299"/>
      <c r="AT196" s="299"/>
      <c r="AU196" s="299"/>
      <c r="AV196" s="299"/>
      <c r="AW196" s="299"/>
      <c r="AX196" s="299"/>
      <c r="AY196" s="299"/>
      <c r="AZ196" s="299"/>
      <c r="BA196" s="299"/>
      <c r="BB196" s="299"/>
      <c r="BC196" s="300"/>
      <c r="BD196" s="301"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8" t="s">
        <v>1196</v>
      </c>
      <c r="EN196" s="274" t="s">
        <v>1197</v>
      </c>
      <c r="EO196" s="274">
        <v>0</v>
      </c>
      <c r="EP196" s="274">
        <v>400</v>
      </c>
      <c r="EQ196" s="275">
        <v>0</v>
      </c>
      <c r="ER196" s="814">
        <v>0</v>
      </c>
      <c r="ES196" s="814">
        <v>100</v>
      </c>
      <c r="ET196" s="830">
        <v>300</v>
      </c>
    </row>
    <row r="197" spans="1:150" ht="39" customHeight="1" x14ac:dyDescent="0.2">
      <c r="A197" s="277" t="s">
        <v>90</v>
      </c>
      <c r="B197" s="428" t="s">
        <v>91</v>
      </c>
      <c r="C197" s="429" t="s">
        <v>992</v>
      </c>
      <c r="D197" s="429"/>
      <c r="E197" s="8" t="s">
        <v>695</v>
      </c>
      <c r="F197" s="281" t="str">
        <f t="shared" si="100"/>
        <v>E3.P_E</v>
      </c>
      <c r="G197" s="452" t="s">
        <v>295</v>
      </c>
      <c r="H197" s="452" t="s">
        <v>448</v>
      </c>
      <c r="I197" s="456"/>
      <c r="J197" s="457" t="s">
        <v>61</v>
      </c>
      <c r="K197" s="373" t="str">
        <f t="shared" si="101"/>
        <v>E3.P_E.MR1</v>
      </c>
      <c r="L197" s="408" t="s">
        <v>1195</v>
      </c>
      <c r="M197" s="409" t="s">
        <v>1190</v>
      </c>
      <c r="N197" s="374">
        <v>0</v>
      </c>
      <c r="O197" s="288">
        <v>4</v>
      </c>
      <c r="P197" s="376" t="s">
        <v>99</v>
      </c>
      <c r="Q197" s="377" t="str">
        <f t="shared" si="102"/>
        <v>E3.P_E.MR1-MP03-1</v>
      </c>
      <c r="R197" s="420" t="s">
        <v>1200</v>
      </c>
      <c r="S197" s="314" t="s">
        <v>1201</v>
      </c>
      <c r="T197" s="293">
        <v>0</v>
      </c>
      <c r="U197" s="294">
        <v>100</v>
      </c>
      <c r="V197" s="293" t="s">
        <v>67</v>
      </c>
      <c r="W197" s="295">
        <v>52</v>
      </c>
      <c r="X197" s="296">
        <v>16</v>
      </c>
      <c r="Y197" s="295">
        <v>16</v>
      </c>
      <c r="Z197" s="297">
        <v>16</v>
      </c>
      <c r="AA197" s="298"/>
      <c r="AB197" s="299"/>
      <c r="AC197" s="299"/>
      <c r="AD197" s="299"/>
      <c r="AE197" s="299"/>
      <c r="AF197" s="299"/>
      <c r="AG197" s="299"/>
      <c r="AH197" s="299"/>
      <c r="AI197" s="299"/>
      <c r="AJ197" s="299"/>
      <c r="AK197" s="299"/>
      <c r="AL197" s="299"/>
      <c r="AM197" s="299"/>
      <c r="AN197" s="299"/>
      <c r="AO197" s="299"/>
      <c r="AP197" s="299"/>
      <c r="AQ197" s="299"/>
      <c r="AR197" s="299"/>
      <c r="AS197" s="299"/>
      <c r="AT197" s="299"/>
      <c r="AU197" s="299"/>
      <c r="AV197" s="299"/>
      <c r="AW197" s="299"/>
      <c r="AX197" s="299"/>
      <c r="AY197" s="299"/>
      <c r="AZ197" s="299"/>
      <c r="BA197" s="299"/>
      <c r="BB197" s="299"/>
      <c r="BC197" s="300"/>
      <c r="BD197" s="301"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8" t="s">
        <v>1200</v>
      </c>
      <c r="EN197" s="274" t="s">
        <v>1201</v>
      </c>
      <c r="EO197" s="274">
        <v>0</v>
      </c>
      <c r="EP197" s="274">
        <v>100</v>
      </c>
      <c r="EQ197" s="275">
        <v>0</v>
      </c>
      <c r="ER197" s="814">
        <v>0</v>
      </c>
      <c r="ES197" s="814">
        <v>30</v>
      </c>
      <c r="ET197" s="830">
        <v>70</v>
      </c>
    </row>
    <row r="198" spans="1:150" ht="33" customHeight="1" x14ac:dyDescent="0.2">
      <c r="A198" s="277" t="s">
        <v>90</v>
      </c>
      <c r="B198" s="428" t="s">
        <v>91</v>
      </c>
      <c r="C198" s="429" t="s">
        <v>992</v>
      </c>
      <c r="D198" s="429"/>
      <c r="E198" s="8" t="s">
        <v>695</v>
      </c>
      <c r="F198" s="281" t="str">
        <f t="shared" si="100"/>
        <v>E3.P_E</v>
      </c>
      <c r="G198" s="452" t="s">
        <v>295</v>
      </c>
      <c r="H198" s="452" t="s">
        <v>448</v>
      </c>
      <c r="I198" s="456"/>
      <c r="J198" s="457" t="s">
        <v>61</v>
      </c>
      <c r="K198" s="373" t="str">
        <f t="shared" si="101"/>
        <v>E3.P_E.MR1</v>
      </c>
      <c r="L198" s="408" t="s">
        <v>1195</v>
      </c>
      <c r="M198" s="409" t="s">
        <v>1190</v>
      </c>
      <c r="N198" s="374">
        <v>0</v>
      </c>
      <c r="O198" s="288">
        <v>4</v>
      </c>
      <c r="P198" s="376" t="s">
        <v>112</v>
      </c>
      <c r="Q198" s="377" t="str">
        <f t="shared" si="102"/>
        <v>E3.P_E.MR1-MP04-1</v>
      </c>
      <c r="R198" s="420" t="s">
        <v>1205</v>
      </c>
      <c r="S198" s="314" t="s">
        <v>1206</v>
      </c>
      <c r="T198" s="293">
        <v>0</v>
      </c>
      <c r="U198" s="294">
        <v>1</v>
      </c>
      <c r="V198" s="293" t="s">
        <v>67</v>
      </c>
      <c r="W198" s="321">
        <v>0.51</v>
      </c>
      <c r="X198" s="322">
        <v>0.16</v>
      </c>
      <c r="Y198" s="321">
        <v>0.16</v>
      </c>
      <c r="Z198" s="323">
        <v>0.17</v>
      </c>
      <c r="AA198" s="298"/>
      <c r="AB198" s="299"/>
      <c r="AC198" s="299"/>
      <c r="AD198" s="299"/>
      <c r="AE198" s="299"/>
      <c r="AF198" s="299"/>
      <c r="AG198" s="299"/>
      <c r="AH198" s="299"/>
      <c r="AI198" s="299"/>
      <c r="AJ198" s="299"/>
      <c r="AK198" s="299"/>
      <c r="AL198" s="299"/>
      <c r="AM198" s="299"/>
      <c r="AN198" s="299"/>
      <c r="AO198" s="299"/>
      <c r="AP198" s="299"/>
      <c r="AQ198" s="299"/>
      <c r="AR198" s="299"/>
      <c r="AS198" s="299"/>
      <c r="AT198" s="299"/>
      <c r="AU198" s="299"/>
      <c r="AV198" s="299"/>
      <c r="AW198" s="299"/>
      <c r="AX198" s="299"/>
      <c r="AY198" s="299"/>
      <c r="AZ198" s="299"/>
      <c r="BA198" s="299"/>
      <c r="BB198" s="299"/>
      <c r="BC198" s="300"/>
      <c r="BD198" s="301"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8" t="s">
        <v>1205</v>
      </c>
      <c r="EN198" s="274" t="s">
        <v>1206</v>
      </c>
      <c r="EO198" s="274">
        <v>0</v>
      </c>
      <c r="EP198" s="274">
        <v>1</v>
      </c>
      <c r="EQ198" s="329">
        <v>0</v>
      </c>
      <c r="ER198" s="816">
        <v>0</v>
      </c>
      <c r="ES198" s="329">
        <v>0.5</v>
      </c>
      <c r="ET198" s="827">
        <v>0.5</v>
      </c>
    </row>
    <row r="199" spans="1:150" ht="42" customHeight="1" x14ac:dyDescent="0.2">
      <c r="A199" s="277" t="s">
        <v>90</v>
      </c>
      <c r="B199" s="428" t="s">
        <v>91</v>
      </c>
      <c r="C199" s="429" t="s">
        <v>992</v>
      </c>
      <c r="D199" s="429"/>
      <c r="E199" s="8" t="s">
        <v>695</v>
      </c>
      <c r="F199" s="281" t="str">
        <f t="shared" si="100"/>
        <v>E3.P_E</v>
      </c>
      <c r="G199" s="452" t="s">
        <v>295</v>
      </c>
      <c r="H199" s="452" t="s">
        <v>448</v>
      </c>
      <c r="I199" s="456"/>
      <c r="J199" s="457" t="s">
        <v>61</v>
      </c>
      <c r="K199" s="373" t="str">
        <f t="shared" si="101"/>
        <v>E3.P_E.MR1</v>
      </c>
      <c r="L199" s="408" t="s">
        <v>1195</v>
      </c>
      <c r="M199" s="409" t="s">
        <v>1190</v>
      </c>
      <c r="N199" s="374">
        <v>0</v>
      </c>
      <c r="O199" s="288">
        <v>4</v>
      </c>
      <c r="P199" s="376" t="s">
        <v>122</v>
      </c>
      <c r="Q199" s="377" t="str">
        <f t="shared" si="102"/>
        <v>E3.P_E.MR1-MP05-1</v>
      </c>
      <c r="R199" s="420" t="s">
        <v>1209</v>
      </c>
      <c r="S199" s="314" t="s">
        <v>1210</v>
      </c>
      <c r="T199" s="319">
        <v>0.3</v>
      </c>
      <c r="U199" s="320">
        <v>1</v>
      </c>
      <c r="V199" s="319" t="s">
        <v>67</v>
      </c>
      <c r="W199" s="315">
        <v>0</v>
      </c>
      <c r="X199" s="322">
        <v>32.83</v>
      </c>
      <c r="Y199" s="295">
        <v>33</v>
      </c>
      <c r="Z199" s="323">
        <v>34.17</v>
      </c>
      <c r="AA199" s="324"/>
      <c r="AB199" s="325"/>
      <c r="AC199" s="325"/>
      <c r="AD199" s="325"/>
      <c r="AE199" s="325"/>
      <c r="AF199" s="325"/>
      <c r="AG199" s="325"/>
      <c r="AH199" s="325"/>
      <c r="AI199" s="325"/>
      <c r="AJ199" s="325"/>
      <c r="AK199" s="325"/>
      <c r="AL199" s="325"/>
      <c r="AM199" s="325"/>
      <c r="AN199" s="325"/>
      <c r="AO199" s="325"/>
      <c r="AP199" s="325"/>
      <c r="AQ199" s="325"/>
      <c r="AR199" s="325"/>
      <c r="AS199" s="325"/>
      <c r="AT199" s="325"/>
      <c r="AU199" s="325"/>
      <c r="AV199" s="325"/>
      <c r="AW199" s="325"/>
      <c r="AX199" s="325"/>
      <c r="AY199" s="325"/>
      <c r="AZ199" s="325"/>
      <c r="BA199" s="325"/>
      <c r="BB199" s="325"/>
      <c r="BC199" s="326"/>
      <c r="BD199" s="301"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8" t="s">
        <v>1209</v>
      </c>
      <c r="EN199" s="274" t="s">
        <v>1905</v>
      </c>
      <c r="EO199" s="276">
        <v>30</v>
      </c>
      <c r="EP199" s="805">
        <v>100</v>
      </c>
      <c r="EQ199" s="805">
        <v>0</v>
      </c>
      <c r="ER199" s="816">
        <v>80</v>
      </c>
      <c r="ES199" s="814">
        <v>20</v>
      </c>
      <c r="ET199" s="827">
        <v>0</v>
      </c>
    </row>
    <row r="200" spans="1:150" ht="54" customHeight="1" thickBot="1" x14ac:dyDescent="0.25">
      <c r="A200" s="277" t="s">
        <v>90</v>
      </c>
      <c r="B200" s="428" t="s">
        <v>91</v>
      </c>
      <c r="C200" s="429" t="s">
        <v>992</v>
      </c>
      <c r="D200" s="429"/>
      <c r="E200" s="8" t="s">
        <v>695</v>
      </c>
      <c r="F200" s="281" t="str">
        <f t="shared" si="100"/>
        <v>E3.P_E</v>
      </c>
      <c r="G200" s="564" t="s">
        <v>295</v>
      </c>
      <c r="H200" s="564" t="s">
        <v>448</v>
      </c>
      <c r="I200" s="462"/>
      <c r="J200" s="463" t="s">
        <v>61</v>
      </c>
      <c r="K200" s="464" t="str">
        <f t="shared" si="101"/>
        <v>E3.P_E.MR1</v>
      </c>
      <c r="L200" s="424" t="s">
        <v>1195</v>
      </c>
      <c r="M200" s="425" t="s">
        <v>1190</v>
      </c>
      <c r="N200" s="388">
        <v>0</v>
      </c>
      <c r="O200" s="426">
        <v>4</v>
      </c>
      <c r="P200" s="390" t="s">
        <v>132</v>
      </c>
      <c r="Q200" s="391" t="str">
        <f t="shared" si="102"/>
        <v>E3.P_E.MR1-MP06-1</v>
      </c>
      <c r="R200" s="475" t="s">
        <v>1213</v>
      </c>
      <c r="S200" s="337" t="s">
        <v>1214</v>
      </c>
      <c r="T200" s="338">
        <v>0</v>
      </c>
      <c r="U200" s="339">
        <v>1</v>
      </c>
      <c r="V200" s="293" t="s">
        <v>67</v>
      </c>
      <c r="W200" s="321">
        <v>0.51</v>
      </c>
      <c r="X200" s="322">
        <v>0.16</v>
      </c>
      <c r="Y200" s="321">
        <v>0.16</v>
      </c>
      <c r="Z200" s="323">
        <v>0.17</v>
      </c>
      <c r="AA200" s="298"/>
      <c r="AB200" s="299"/>
      <c r="AC200" s="299"/>
      <c r="AD200" s="299"/>
      <c r="AE200" s="299"/>
      <c r="AF200" s="299"/>
      <c r="AG200" s="299"/>
      <c r="AH200" s="299"/>
      <c r="AI200" s="299"/>
      <c r="AJ200" s="299"/>
      <c r="AK200" s="299"/>
      <c r="AL200" s="299"/>
      <c r="AM200" s="299"/>
      <c r="AN200" s="299"/>
      <c r="AO200" s="299"/>
      <c r="AP200" s="299"/>
      <c r="AQ200" s="299"/>
      <c r="AR200" s="299"/>
      <c r="AS200" s="299"/>
      <c r="AT200" s="299"/>
      <c r="AU200" s="299"/>
      <c r="AV200" s="299"/>
      <c r="AW200" s="299"/>
      <c r="AX200" s="299"/>
      <c r="AY200" s="299"/>
      <c r="AZ200" s="299"/>
      <c r="BA200" s="299"/>
      <c r="BB200" s="299"/>
      <c r="BC200" s="300"/>
      <c r="BD200" s="301"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8" t="s">
        <v>1213</v>
      </c>
      <c r="EN200" s="274" t="s">
        <v>1214</v>
      </c>
      <c r="EO200" s="274">
        <v>0</v>
      </c>
      <c r="EP200" s="274">
        <v>1</v>
      </c>
      <c r="EQ200" s="329">
        <v>0.51</v>
      </c>
      <c r="ER200" s="329">
        <v>0.16</v>
      </c>
      <c r="ES200" s="329">
        <v>0.16</v>
      </c>
      <c r="ET200" s="825">
        <v>0.17</v>
      </c>
    </row>
    <row r="201" spans="1:150" ht="119.25" customHeight="1" x14ac:dyDescent="0.2">
      <c r="A201" s="277" t="s">
        <v>90</v>
      </c>
      <c r="B201" s="428" t="s">
        <v>91</v>
      </c>
      <c r="C201" s="429" t="s">
        <v>992</v>
      </c>
      <c r="D201" s="430" t="s">
        <v>1217</v>
      </c>
      <c r="E201" s="3" t="s">
        <v>718</v>
      </c>
      <c r="F201" s="431" t="str">
        <f t="shared" si="100"/>
        <v>E3.P_F</v>
      </c>
      <c r="G201" s="432" t="s">
        <v>307</v>
      </c>
      <c r="H201" s="477" t="s">
        <v>459</v>
      </c>
      <c r="I201" s="453" t="s">
        <v>1218</v>
      </c>
      <c r="J201" s="454" t="s">
        <v>61</v>
      </c>
      <c r="K201" s="455" t="str">
        <f t="shared" si="101"/>
        <v>E3.P_F.MR1</v>
      </c>
      <c r="L201" s="360" t="s">
        <v>437</v>
      </c>
      <c r="M201" s="361" t="s">
        <v>1219</v>
      </c>
      <c r="N201" s="479">
        <v>0</v>
      </c>
      <c r="O201" s="405">
        <v>0.2</v>
      </c>
      <c r="P201" s="684" t="s">
        <v>64</v>
      </c>
      <c r="Q201" s="249" t="str">
        <f t="shared" si="102"/>
        <v>E3.P_F.MR1-MP01-1</v>
      </c>
      <c r="R201" s="416" t="s">
        <v>1220</v>
      </c>
      <c r="S201" s="367" t="s">
        <v>282</v>
      </c>
      <c r="T201" s="368">
        <v>0</v>
      </c>
      <c r="U201" s="369">
        <v>1</v>
      </c>
      <c r="V201" s="293" t="s">
        <v>67</v>
      </c>
      <c r="W201" s="321">
        <v>0.25</v>
      </c>
      <c r="X201" s="322">
        <v>0.25</v>
      </c>
      <c r="Y201" s="321">
        <v>0.25</v>
      </c>
      <c r="Z201" s="323">
        <v>0.25</v>
      </c>
      <c r="AA201" s="589">
        <v>0</v>
      </c>
      <c r="AB201" s="590">
        <v>0</v>
      </c>
      <c r="AC201" s="590">
        <v>0</v>
      </c>
      <c r="AD201" s="590">
        <v>0</v>
      </c>
      <c r="AE201" s="590">
        <v>0</v>
      </c>
      <c r="AF201" s="590">
        <v>50000000</v>
      </c>
      <c r="AG201" s="590">
        <f t="shared" ref="AG201" si="147">SUM(AA201:AF201)</f>
        <v>50000000</v>
      </c>
      <c r="AH201" s="590"/>
      <c r="AI201" s="590">
        <f>AB201*1.035</f>
        <v>0</v>
      </c>
      <c r="AJ201" s="590"/>
      <c r="AK201" s="590">
        <f>AD201*1.035</f>
        <v>0</v>
      </c>
      <c r="AL201" s="590">
        <f t="shared" ref="AL201" si="148">AE201*1.035</f>
        <v>0</v>
      </c>
      <c r="AM201" s="590">
        <v>120000000</v>
      </c>
      <c r="AN201" s="590">
        <f t="shared" ref="AN201" si="149">SUM(AH201:AM201)</f>
        <v>120000000</v>
      </c>
      <c r="AO201" s="590"/>
      <c r="AP201" s="590">
        <f>AI201*1.035</f>
        <v>0</v>
      </c>
      <c r="AQ201" s="590"/>
      <c r="AR201" s="590">
        <f>AK201*1.035</f>
        <v>0</v>
      </c>
      <c r="AS201" s="590">
        <f>AL201*1.035</f>
        <v>0</v>
      </c>
      <c r="AT201" s="590">
        <v>171367000</v>
      </c>
      <c r="AU201" s="590">
        <f t="shared" ref="AU201" si="150">SUM(AO201:AT201)</f>
        <v>171367000</v>
      </c>
      <c r="AV201" s="590"/>
      <c r="AW201" s="590">
        <f>AP201*1.035</f>
        <v>0</v>
      </c>
      <c r="AX201" s="590"/>
      <c r="AY201" s="590">
        <f>AR201*1.035</f>
        <v>0</v>
      </c>
      <c r="AZ201" s="590">
        <f>AS201*1.035</f>
        <v>0</v>
      </c>
      <c r="BA201" s="590">
        <v>148000000</v>
      </c>
      <c r="BB201" s="590">
        <f t="shared" ref="BB201" si="151">SUM(AV201:BA201)</f>
        <v>148000000</v>
      </c>
      <c r="BC201" s="658">
        <f t="shared" ref="BC201" si="152">+BB201+AU201+AN201+AG201</f>
        <v>489367000</v>
      </c>
      <c r="BD201" s="301"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8" t="s">
        <v>1220</v>
      </c>
      <c r="EN201" s="274" t="s">
        <v>282</v>
      </c>
      <c r="EO201" s="274">
        <v>0</v>
      </c>
      <c r="EP201" s="274">
        <v>1</v>
      </c>
      <c r="EQ201" s="329">
        <v>0.25</v>
      </c>
      <c r="ER201" s="816">
        <v>0.13</v>
      </c>
      <c r="ES201" s="816">
        <v>0.37</v>
      </c>
      <c r="ET201" s="825">
        <v>0.25</v>
      </c>
    </row>
    <row r="202" spans="1:150" ht="57.75" customHeight="1" x14ac:dyDescent="0.2">
      <c r="A202" s="277" t="s">
        <v>90</v>
      </c>
      <c r="B202" s="428" t="s">
        <v>91</v>
      </c>
      <c r="C202" s="429" t="s">
        <v>992</v>
      </c>
      <c r="D202" s="429"/>
      <c r="E202" s="8" t="s">
        <v>718</v>
      </c>
      <c r="F202" s="281" t="str">
        <f t="shared" ref="F202:F265" si="153">+CONCATENATE(A202,E202)</f>
        <v>E3.P_F</v>
      </c>
      <c r="G202" s="452" t="s">
        <v>307</v>
      </c>
      <c r="H202" s="452" t="s">
        <v>459</v>
      </c>
      <c r="I202" s="456"/>
      <c r="J202" s="457" t="s">
        <v>61</v>
      </c>
      <c r="K202" s="373" t="str">
        <f t="shared" ref="K202:K265" si="154">+CONCATENATE(F202,".",J202)</f>
        <v>E3.P_F.MR1</v>
      </c>
      <c r="L202" s="408" t="s">
        <v>437</v>
      </c>
      <c r="M202" s="409" t="s">
        <v>1219</v>
      </c>
      <c r="N202" s="491">
        <v>0</v>
      </c>
      <c r="O202" s="411">
        <v>0.2</v>
      </c>
      <c r="P202" s="312" t="s">
        <v>87</v>
      </c>
      <c r="Q202" s="290" t="str">
        <f t="shared" ref="Q202:Q265" si="155">+CONCATENATE(K202,"-",P202)</f>
        <v>E3.P_F.MR1-MP02-1</v>
      </c>
      <c r="R202" s="420" t="s">
        <v>1224</v>
      </c>
      <c r="S202" s="314" t="s">
        <v>1225</v>
      </c>
      <c r="T202" s="293">
        <v>2</v>
      </c>
      <c r="U202" s="294">
        <v>2</v>
      </c>
      <c r="V202" s="293" t="s">
        <v>102</v>
      </c>
      <c r="W202" s="315">
        <v>0.5</v>
      </c>
      <c r="X202" s="330">
        <v>0.5</v>
      </c>
      <c r="Y202" s="315">
        <v>0.5</v>
      </c>
      <c r="Z202" s="316">
        <v>0.5</v>
      </c>
      <c r="AA202" s="298"/>
      <c r="AB202" s="299"/>
      <c r="AC202" s="299"/>
      <c r="AD202" s="299"/>
      <c r="AE202" s="299"/>
      <c r="AF202" s="299"/>
      <c r="AG202" s="299"/>
      <c r="AH202" s="299"/>
      <c r="AI202" s="299"/>
      <c r="AJ202" s="299"/>
      <c r="AK202" s="299"/>
      <c r="AL202" s="299"/>
      <c r="AM202" s="299"/>
      <c r="AN202" s="299"/>
      <c r="AO202" s="299"/>
      <c r="AP202" s="299"/>
      <c r="AQ202" s="299"/>
      <c r="AR202" s="299"/>
      <c r="AS202" s="299"/>
      <c r="AT202" s="299"/>
      <c r="AU202" s="299"/>
      <c r="AV202" s="299"/>
      <c r="AW202" s="299"/>
      <c r="AX202" s="299"/>
      <c r="AY202" s="299"/>
      <c r="AZ202" s="299"/>
      <c r="BA202" s="299"/>
      <c r="BB202" s="299"/>
      <c r="BC202" s="300"/>
      <c r="BD202" s="301"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8" t="s">
        <v>1224</v>
      </c>
      <c r="EN202" s="274" t="s">
        <v>1225</v>
      </c>
      <c r="EO202" s="274">
        <v>2</v>
      </c>
      <c r="EP202" s="274">
        <v>2</v>
      </c>
      <c r="EQ202" s="276">
        <v>0</v>
      </c>
      <c r="ER202" s="329">
        <v>0.75</v>
      </c>
      <c r="ES202" s="329">
        <v>0.75</v>
      </c>
      <c r="ET202" s="829">
        <v>0.5</v>
      </c>
    </row>
    <row r="203" spans="1:150" ht="42" customHeight="1" x14ac:dyDescent="0.2">
      <c r="A203" s="277" t="s">
        <v>90</v>
      </c>
      <c r="B203" s="428" t="s">
        <v>91</v>
      </c>
      <c r="C203" s="429" t="s">
        <v>992</v>
      </c>
      <c r="D203" s="429"/>
      <c r="E203" s="8" t="s">
        <v>718</v>
      </c>
      <c r="F203" s="281" t="str">
        <f t="shared" si="153"/>
        <v>E3.P_F</v>
      </c>
      <c r="G203" s="452" t="s">
        <v>307</v>
      </c>
      <c r="H203" s="452" t="s">
        <v>459</v>
      </c>
      <c r="I203" s="456"/>
      <c r="J203" s="457" t="s">
        <v>61</v>
      </c>
      <c r="K203" s="373" t="str">
        <f t="shared" si="154"/>
        <v>E3.P_F.MR1</v>
      </c>
      <c r="L203" s="408" t="s">
        <v>437</v>
      </c>
      <c r="M203" s="409" t="s">
        <v>1219</v>
      </c>
      <c r="N203" s="491">
        <v>0</v>
      </c>
      <c r="O203" s="411">
        <v>0.2</v>
      </c>
      <c r="P203" s="312" t="s">
        <v>99</v>
      </c>
      <c r="Q203" s="290" t="str">
        <f t="shared" si="155"/>
        <v>E3.P_F.MR1-MP03-1</v>
      </c>
      <c r="R203" s="420" t="s">
        <v>1228</v>
      </c>
      <c r="S203" s="314" t="s">
        <v>1229</v>
      </c>
      <c r="T203" s="685">
        <v>0.25</v>
      </c>
      <c r="U203" s="381">
        <v>1</v>
      </c>
      <c r="V203" s="380" t="s">
        <v>67</v>
      </c>
      <c r="W203" s="295">
        <v>0</v>
      </c>
      <c r="X203" s="322">
        <v>0.25</v>
      </c>
      <c r="Y203" s="315">
        <v>0.5</v>
      </c>
      <c r="Z203" s="323">
        <v>0.25</v>
      </c>
      <c r="AA203" s="382"/>
      <c r="AB203" s="383"/>
      <c r="AC203" s="383"/>
      <c r="AD203" s="383"/>
      <c r="AE203" s="383"/>
      <c r="AF203" s="383"/>
      <c r="AG203" s="383"/>
      <c r="AH203" s="383"/>
      <c r="AI203" s="383"/>
      <c r="AJ203" s="383"/>
      <c r="AK203" s="383"/>
      <c r="AL203" s="383"/>
      <c r="AM203" s="383"/>
      <c r="AN203" s="383"/>
      <c r="AO203" s="383"/>
      <c r="AP203" s="383"/>
      <c r="AQ203" s="383"/>
      <c r="AR203" s="383"/>
      <c r="AS203" s="383"/>
      <c r="AT203" s="383"/>
      <c r="AU203" s="383"/>
      <c r="AV203" s="383"/>
      <c r="AW203" s="383"/>
      <c r="AX203" s="383"/>
      <c r="AY203" s="383"/>
      <c r="AZ203" s="383"/>
      <c r="BA203" s="383"/>
      <c r="BB203" s="383"/>
      <c r="BC203" s="384"/>
      <c r="BD203" s="301"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8" t="s">
        <v>1228</v>
      </c>
      <c r="EN203" s="274" t="s">
        <v>1229</v>
      </c>
      <c r="EO203" s="686">
        <v>0.25</v>
      </c>
      <c r="EP203" s="385">
        <v>1</v>
      </c>
      <c r="EQ203" s="275">
        <v>0</v>
      </c>
      <c r="ER203" s="816">
        <v>0</v>
      </c>
      <c r="ES203" s="276">
        <v>0.5</v>
      </c>
      <c r="ET203" s="827">
        <v>0.5</v>
      </c>
    </row>
    <row r="204" spans="1:150" ht="61.5" customHeight="1" x14ac:dyDescent="0.2">
      <c r="A204" s="277" t="s">
        <v>90</v>
      </c>
      <c r="B204" s="428" t="s">
        <v>91</v>
      </c>
      <c r="C204" s="429" t="s">
        <v>992</v>
      </c>
      <c r="D204" s="429"/>
      <c r="E204" s="8" t="s">
        <v>718</v>
      </c>
      <c r="F204" s="281" t="str">
        <f t="shared" si="153"/>
        <v>E3.P_F</v>
      </c>
      <c r="G204" s="452" t="s">
        <v>307</v>
      </c>
      <c r="H204" s="452" t="s">
        <v>459</v>
      </c>
      <c r="I204" s="456"/>
      <c r="J204" s="457" t="s">
        <v>61</v>
      </c>
      <c r="K204" s="373" t="str">
        <f t="shared" si="154"/>
        <v>E3.P_F.MR1</v>
      </c>
      <c r="L204" s="408" t="s">
        <v>437</v>
      </c>
      <c r="M204" s="409" t="s">
        <v>1219</v>
      </c>
      <c r="N204" s="491">
        <v>0</v>
      </c>
      <c r="O204" s="411">
        <v>0.2</v>
      </c>
      <c r="P204" s="312" t="s">
        <v>112</v>
      </c>
      <c r="Q204" s="290" t="str">
        <f t="shared" si="155"/>
        <v>E3.P_F.MR1-MP04-1</v>
      </c>
      <c r="R204" s="420" t="s">
        <v>1232</v>
      </c>
      <c r="S204" s="314" t="s">
        <v>1233</v>
      </c>
      <c r="T204" s="380">
        <v>20</v>
      </c>
      <c r="U204" s="381">
        <v>20</v>
      </c>
      <c r="V204" s="380" t="s">
        <v>102</v>
      </c>
      <c r="W204" s="295">
        <v>4</v>
      </c>
      <c r="X204" s="296">
        <v>6</v>
      </c>
      <c r="Y204" s="295">
        <v>8</v>
      </c>
      <c r="Z204" s="297">
        <v>2</v>
      </c>
      <c r="AA204" s="382"/>
      <c r="AB204" s="383"/>
      <c r="AC204" s="383"/>
      <c r="AD204" s="383"/>
      <c r="AE204" s="383"/>
      <c r="AF204" s="383"/>
      <c r="AG204" s="383"/>
      <c r="AH204" s="383"/>
      <c r="AI204" s="383"/>
      <c r="AJ204" s="383"/>
      <c r="AK204" s="383"/>
      <c r="AL204" s="383"/>
      <c r="AM204" s="383"/>
      <c r="AN204" s="383"/>
      <c r="AO204" s="383"/>
      <c r="AP204" s="383"/>
      <c r="AQ204" s="383"/>
      <c r="AR204" s="383"/>
      <c r="AS204" s="383"/>
      <c r="AT204" s="383"/>
      <c r="AU204" s="383"/>
      <c r="AV204" s="383"/>
      <c r="AW204" s="383"/>
      <c r="AX204" s="383"/>
      <c r="AY204" s="383"/>
      <c r="AZ204" s="383"/>
      <c r="BA204" s="383"/>
      <c r="BB204" s="383"/>
      <c r="BC204" s="384"/>
      <c r="BD204" s="301"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8" t="s">
        <v>1232</v>
      </c>
      <c r="EN204" s="274" t="s">
        <v>1233</v>
      </c>
      <c r="EO204" s="385">
        <v>20</v>
      </c>
      <c r="EP204" s="385">
        <v>20</v>
      </c>
      <c r="EQ204" s="275">
        <v>4</v>
      </c>
      <c r="ER204" s="275">
        <v>6</v>
      </c>
      <c r="ES204" s="814">
        <v>6</v>
      </c>
      <c r="ET204" s="830">
        <v>4</v>
      </c>
    </row>
    <row r="205" spans="1:150" ht="58.5" customHeight="1" thickBot="1" x14ac:dyDescent="0.25">
      <c r="A205" s="277" t="s">
        <v>90</v>
      </c>
      <c r="B205" s="428" t="s">
        <v>91</v>
      </c>
      <c r="C205" s="429" t="s">
        <v>992</v>
      </c>
      <c r="D205" s="429"/>
      <c r="E205" s="8" t="s">
        <v>718</v>
      </c>
      <c r="F205" s="281" t="str">
        <f t="shared" si="153"/>
        <v>E3.P_F</v>
      </c>
      <c r="G205" s="452" t="s">
        <v>307</v>
      </c>
      <c r="H205" s="452" t="s">
        <v>459</v>
      </c>
      <c r="I205" s="462"/>
      <c r="J205" s="463" t="s">
        <v>61</v>
      </c>
      <c r="K205" s="464" t="str">
        <f t="shared" si="154"/>
        <v>E3.P_F.MR1</v>
      </c>
      <c r="L205" s="424" t="s">
        <v>437</v>
      </c>
      <c r="M205" s="425" t="s">
        <v>1219</v>
      </c>
      <c r="N205" s="497">
        <v>0</v>
      </c>
      <c r="O205" s="414">
        <v>0.2</v>
      </c>
      <c r="P205" s="346" t="s">
        <v>122</v>
      </c>
      <c r="Q205" s="347" t="str">
        <f t="shared" si="155"/>
        <v>E3.P_F.MR1-MP05-1</v>
      </c>
      <c r="R205" s="475" t="s">
        <v>1236</v>
      </c>
      <c r="S205" s="337" t="s">
        <v>1237</v>
      </c>
      <c r="T205" s="618">
        <v>1</v>
      </c>
      <c r="U205" s="619">
        <v>1</v>
      </c>
      <c r="V205" s="618" t="s">
        <v>102</v>
      </c>
      <c r="W205" s="501">
        <v>0</v>
      </c>
      <c r="X205" s="502">
        <v>0.33</v>
      </c>
      <c r="Y205" s="503">
        <v>0.33</v>
      </c>
      <c r="Z205" s="635">
        <v>0.34</v>
      </c>
      <c r="AA205" s="382"/>
      <c r="AB205" s="383"/>
      <c r="AC205" s="383"/>
      <c r="AD205" s="383"/>
      <c r="AE205" s="383"/>
      <c r="AF205" s="383"/>
      <c r="AG205" s="383"/>
      <c r="AH205" s="383"/>
      <c r="AI205" s="383"/>
      <c r="AJ205" s="383"/>
      <c r="AK205" s="383"/>
      <c r="AL205" s="383"/>
      <c r="AM205" s="383"/>
      <c r="AN205" s="383"/>
      <c r="AO205" s="383"/>
      <c r="AP205" s="383"/>
      <c r="AQ205" s="383"/>
      <c r="AR205" s="383"/>
      <c r="AS205" s="383"/>
      <c r="AT205" s="383"/>
      <c r="AU205" s="383"/>
      <c r="AV205" s="383"/>
      <c r="AW205" s="383"/>
      <c r="AX205" s="383"/>
      <c r="AY205" s="383"/>
      <c r="AZ205" s="383"/>
      <c r="BA205" s="383"/>
      <c r="BB205" s="383"/>
      <c r="BC205" s="384"/>
      <c r="BD205" s="301"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8" t="s">
        <v>1236</v>
      </c>
      <c r="EN205" s="274" t="s">
        <v>1237</v>
      </c>
      <c r="EO205" s="385">
        <v>1</v>
      </c>
      <c r="EP205" s="385">
        <v>1</v>
      </c>
      <c r="EQ205" s="275">
        <v>0</v>
      </c>
      <c r="ER205" s="816">
        <v>0.25</v>
      </c>
      <c r="ES205" s="816">
        <v>0.38</v>
      </c>
      <c r="ET205" s="827">
        <v>0.37</v>
      </c>
    </row>
    <row r="206" spans="1:150" ht="105.75" customHeight="1" x14ac:dyDescent="0.2">
      <c r="A206" s="277" t="s">
        <v>90</v>
      </c>
      <c r="B206" s="428" t="s">
        <v>91</v>
      </c>
      <c r="C206" s="429" t="s">
        <v>992</v>
      </c>
      <c r="D206" s="430" t="s">
        <v>1217</v>
      </c>
      <c r="E206" s="3" t="s">
        <v>752</v>
      </c>
      <c r="F206" s="431" t="str">
        <f t="shared" si="153"/>
        <v>E3.P_G</v>
      </c>
      <c r="G206" s="687" t="s">
        <v>318</v>
      </c>
      <c r="H206" s="688" t="s">
        <v>467</v>
      </c>
      <c r="I206" s="453" t="s">
        <v>1240</v>
      </c>
      <c r="J206" s="454" t="s">
        <v>61</v>
      </c>
      <c r="K206" s="455" t="str">
        <f t="shared" si="154"/>
        <v>E3.P_G.MR1</v>
      </c>
      <c r="L206" s="360" t="s">
        <v>444</v>
      </c>
      <c r="M206" s="361" t="s">
        <v>1241</v>
      </c>
      <c r="N206" s="247">
        <v>5</v>
      </c>
      <c r="O206" s="247">
        <v>5</v>
      </c>
      <c r="P206" s="364" t="s">
        <v>64</v>
      </c>
      <c r="Q206" s="365" t="str">
        <f t="shared" si="155"/>
        <v>E3.P_G.MR1-MP01-1</v>
      </c>
      <c r="R206" s="416" t="s">
        <v>1242</v>
      </c>
      <c r="S206" s="367" t="s">
        <v>1243</v>
      </c>
      <c r="T206" s="368">
        <v>0</v>
      </c>
      <c r="U206" s="369">
        <v>1</v>
      </c>
      <c r="V206" s="368" t="s">
        <v>67</v>
      </c>
      <c r="W206" s="255">
        <v>0</v>
      </c>
      <c r="X206" s="256">
        <v>0.4</v>
      </c>
      <c r="Y206" s="257">
        <v>0.3</v>
      </c>
      <c r="Z206" s="258">
        <v>0.3</v>
      </c>
      <c r="AA206" s="589">
        <v>0</v>
      </c>
      <c r="AB206" s="590">
        <v>0</v>
      </c>
      <c r="AC206" s="590">
        <v>0</v>
      </c>
      <c r="AD206" s="590">
        <v>0</v>
      </c>
      <c r="AE206" s="590">
        <v>0</v>
      </c>
      <c r="AF206" s="590">
        <v>674581000</v>
      </c>
      <c r="AG206" s="590">
        <f t="shared" ref="AG206" si="156">SUM(AA206:AF206)</f>
        <v>674581000</v>
      </c>
      <c r="AH206" s="590"/>
      <c r="AI206" s="590">
        <f>AB206*1.035</f>
        <v>0</v>
      </c>
      <c r="AJ206" s="590"/>
      <c r="AK206" s="590">
        <f>AD206*1.035</f>
        <v>0</v>
      </c>
      <c r="AL206" s="590">
        <f t="shared" ref="AL206" si="157">AE206*1.035</f>
        <v>0</v>
      </c>
      <c r="AM206" s="590">
        <v>713610000</v>
      </c>
      <c r="AN206" s="590">
        <f t="shared" ref="AN206" si="158">SUM(AH206:AM206)</f>
        <v>713610000</v>
      </c>
      <c r="AO206" s="590"/>
      <c r="AP206" s="590">
        <f t="shared" ref="AP206" si="159">AI206*1.035</f>
        <v>0</v>
      </c>
      <c r="AQ206" s="590"/>
      <c r="AR206" s="590">
        <f t="shared" ref="AR206:AS206" si="160">AK206*1.035</f>
        <v>0</v>
      </c>
      <c r="AS206" s="590">
        <f t="shared" si="160"/>
        <v>0</v>
      </c>
      <c r="AT206" s="590">
        <v>749291000</v>
      </c>
      <c r="AU206" s="590">
        <f t="shared" ref="AU206" si="161">SUM(AO206:AT206)</f>
        <v>749291000</v>
      </c>
      <c r="AV206" s="590"/>
      <c r="AW206" s="590">
        <f t="shared" ref="AW206" si="162">AP206*1.035</f>
        <v>0</v>
      </c>
      <c r="AX206" s="590"/>
      <c r="AY206" s="590">
        <f t="shared" ref="AY206:AZ206" si="163">AR206*1.035</f>
        <v>0</v>
      </c>
      <c r="AZ206" s="590">
        <f t="shared" si="163"/>
        <v>0</v>
      </c>
      <c r="BA206" s="590">
        <v>754803000</v>
      </c>
      <c r="BB206" s="590">
        <f t="shared" ref="BB206" si="164">SUM(AV206:BA206)</f>
        <v>754803000</v>
      </c>
      <c r="BC206" s="658">
        <f t="shared" ref="BC206" si="165">+BB206+AU206+AN206+AG206</f>
        <v>2892285000</v>
      </c>
      <c r="BD206" s="301"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8" t="s">
        <v>1242</v>
      </c>
      <c r="EN206" s="274" t="s">
        <v>1243</v>
      </c>
      <c r="EO206" s="274">
        <v>0</v>
      </c>
      <c r="EP206" s="274">
        <v>1</v>
      </c>
      <c r="EQ206" s="275">
        <v>0</v>
      </c>
      <c r="ER206" s="815">
        <v>0</v>
      </c>
      <c r="ES206" s="815">
        <v>0.5</v>
      </c>
      <c r="ET206" s="824">
        <v>0.5</v>
      </c>
    </row>
    <row r="207" spans="1:150" ht="54.75" customHeight="1" x14ac:dyDescent="0.2">
      <c r="A207" s="277" t="s">
        <v>90</v>
      </c>
      <c r="B207" s="428" t="s">
        <v>91</v>
      </c>
      <c r="C207" s="429" t="s">
        <v>992</v>
      </c>
      <c r="D207" s="429"/>
      <c r="E207" s="8" t="s">
        <v>752</v>
      </c>
      <c r="F207" s="281" t="str">
        <f t="shared" si="153"/>
        <v>E3.P_G</v>
      </c>
      <c r="G207" s="689" t="s">
        <v>318</v>
      </c>
      <c r="H207" s="689" t="s">
        <v>467</v>
      </c>
      <c r="I207" s="456"/>
      <c r="J207" s="457" t="s">
        <v>61</v>
      </c>
      <c r="K207" s="373" t="str">
        <f t="shared" si="154"/>
        <v>E3.P_G.MR1</v>
      </c>
      <c r="L207" s="408" t="s">
        <v>444</v>
      </c>
      <c r="M207" s="409" t="s">
        <v>1241</v>
      </c>
      <c r="N207" s="288">
        <v>5</v>
      </c>
      <c r="O207" s="288">
        <v>5</v>
      </c>
      <c r="P207" s="376" t="s">
        <v>87</v>
      </c>
      <c r="Q207" s="377" t="str">
        <f t="shared" si="155"/>
        <v>E3.P_G.MR1-MP02-1</v>
      </c>
      <c r="R207" s="420" t="s">
        <v>1246</v>
      </c>
      <c r="S207" s="314" t="s">
        <v>874</v>
      </c>
      <c r="T207" s="293">
        <v>1</v>
      </c>
      <c r="U207" s="294">
        <v>1</v>
      </c>
      <c r="V207" s="293" t="s">
        <v>102</v>
      </c>
      <c r="W207" s="315">
        <v>0.2</v>
      </c>
      <c r="X207" s="330">
        <v>0.3</v>
      </c>
      <c r="Y207" s="315">
        <v>0.3</v>
      </c>
      <c r="Z207" s="316">
        <v>0.2</v>
      </c>
      <c r="AA207" s="298"/>
      <c r="AB207" s="299"/>
      <c r="AC207" s="299"/>
      <c r="AD207" s="299"/>
      <c r="AE207" s="299"/>
      <c r="AF207" s="299"/>
      <c r="AG207" s="299"/>
      <c r="AH207" s="299"/>
      <c r="AI207" s="299"/>
      <c r="AJ207" s="299"/>
      <c r="AK207" s="299"/>
      <c r="AL207" s="299"/>
      <c r="AM207" s="299"/>
      <c r="AN207" s="299"/>
      <c r="AO207" s="299"/>
      <c r="AP207" s="299"/>
      <c r="AQ207" s="299"/>
      <c r="AR207" s="299"/>
      <c r="AS207" s="299"/>
      <c r="AT207" s="299"/>
      <c r="AU207" s="299"/>
      <c r="AV207" s="299"/>
      <c r="AW207" s="299"/>
      <c r="AX207" s="299"/>
      <c r="AY207" s="299"/>
      <c r="AZ207" s="299"/>
      <c r="BA207" s="299"/>
      <c r="BB207" s="299"/>
      <c r="BC207" s="300"/>
      <c r="BD207" s="301"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8" t="s">
        <v>1246</v>
      </c>
      <c r="EN207" s="274" t="s">
        <v>874</v>
      </c>
      <c r="EO207" s="274">
        <v>1</v>
      </c>
      <c r="EP207" s="274">
        <v>1</v>
      </c>
      <c r="EQ207" s="276">
        <v>0.2</v>
      </c>
      <c r="ER207" s="276">
        <v>0.3</v>
      </c>
      <c r="ES207" s="276">
        <v>0.3</v>
      </c>
      <c r="ET207" s="829">
        <v>0.2</v>
      </c>
    </row>
    <row r="208" spans="1:150" ht="53.25" customHeight="1" x14ac:dyDescent="0.2">
      <c r="A208" s="277" t="s">
        <v>90</v>
      </c>
      <c r="B208" s="428" t="s">
        <v>91</v>
      </c>
      <c r="C208" s="429" t="s">
        <v>992</v>
      </c>
      <c r="D208" s="429"/>
      <c r="E208" s="8" t="s">
        <v>752</v>
      </c>
      <c r="F208" s="281" t="str">
        <f t="shared" si="153"/>
        <v>E3.P_G</v>
      </c>
      <c r="G208" s="689" t="s">
        <v>318</v>
      </c>
      <c r="H208" s="689" t="s">
        <v>467</v>
      </c>
      <c r="I208" s="456"/>
      <c r="J208" s="457" t="s">
        <v>61</v>
      </c>
      <c r="K208" s="373" t="str">
        <f t="shared" si="154"/>
        <v>E3.P_G.MR1</v>
      </c>
      <c r="L208" s="408" t="s">
        <v>444</v>
      </c>
      <c r="M208" s="409" t="s">
        <v>1241</v>
      </c>
      <c r="N208" s="288">
        <v>5</v>
      </c>
      <c r="O208" s="288">
        <v>5</v>
      </c>
      <c r="P208" s="376" t="s">
        <v>99</v>
      </c>
      <c r="Q208" s="377" t="str">
        <f t="shared" si="155"/>
        <v>E3.P_G.MR1-MP03-1</v>
      </c>
      <c r="R208" s="420" t="s">
        <v>1249</v>
      </c>
      <c r="S208" s="314" t="s">
        <v>1250</v>
      </c>
      <c r="T208" s="380">
        <v>24</v>
      </c>
      <c r="U208" s="381">
        <v>80</v>
      </c>
      <c r="V208" s="380" t="s">
        <v>67</v>
      </c>
      <c r="W208" s="295">
        <v>0</v>
      </c>
      <c r="X208" s="296">
        <v>30</v>
      </c>
      <c r="Y208" s="295">
        <v>30</v>
      </c>
      <c r="Z208" s="297">
        <v>20</v>
      </c>
      <c r="AA208" s="382"/>
      <c r="AB208" s="383"/>
      <c r="AC208" s="383"/>
      <c r="AD208" s="383"/>
      <c r="AE208" s="383"/>
      <c r="AF208" s="383"/>
      <c r="AG208" s="383"/>
      <c r="AH208" s="383"/>
      <c r="AI208" s="383"/>
      <c r="AJ208" s="383"/>
      <c r="AK208" s="383"/>
      <c r="AL208" s="383"/>
      <c r="AM208" s="383"/>
      <c r="AN208" s="383"/>
      <c r="AO208" s="383"/>
      <c r="AP208" s="383"/>
      <c r="AQ208" s="383"/>
      <c r="AR208" s="383"/>
      <c r="AS208" s="383"/>
      <c r="AT208" s="383"/>
      <c r="AU208" s="383"/>
      <c r="AV208" s="383"/>
      <c r="AW208" s="383"/>
      <c r="AX208" s="383"/>
      <c r="AY208" s="383"/>
      <c r="AZ208" s="383"/>
      <c r="BA208" s="383"/>
      <c r="BB208" s="383"/>
      <c r="BC208" s="384"/>
      <c r="BD208" s="301"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8" t="s">
        <v>1249</v>
      </c>
      <c r="EN208" s="274" t="s">
        <v>1250</v>
      </c>
      <c r="EO208" s="385">
        <v>24</v>
      </c>
      <c r="EP208" s="385">
        <v>80</v>
      </c>
      <c r="EQ208" s="275">
        <v>0</v>
      </c>
      <c r="ER208" s="814">
        <v>4</v>
      </c>
      <c r="ES208" s="814">
        <v>26</v>
      </c>
      <c r="ET208" s="830">
        <v>26</v>
      </c>
    </row>
    <row r="209" spans="1:152" ht="50.25" customHeight="1" x14ac:dyDescent="0.2">
      <c r="A209" s="277" t="s">
        <v>90</v>
      </c>
      <c r="B209" s="428" t="s">
        <v>91</v>
      </c>
      <c r="C209" s="429" t="s">
        <v>992</v>
      </c>
      <c r="D209" s="429"/>
      <c r="E209" s="8" t="s">
        <v>752</v>
      </c>
      <c r="F209" s="281" t="str">
        <f t="shared" si="153"/>
        <v>E3.P_G</v>
      </c>
      <c r="G209" s="689" t="s">
        <v>318</v>
      </c>
      <c r="H209" s="689" t="s">
        <v>467</v>
      </c>
      <c r="I209" s="456"/>
      <c r="J209" s="457" t="s">
        <v>61</v>
      </c>
      <c r="K209" s="373" t="str">
        <f t="shared" si="154"/>
        <v>E3.P_G.MR1</v>
      </c>
      <c r="L209" s="408" t="s">
        <v>444</v>
      </c>
      <c r="M209" s="409" t="s">
        <v>1241</v>
      </c>
      <c r="N209" s="288">
        <v>5</v>
      </c>
      <c r="O209" s="288">
        <v>5</v>
      </c>
      <c r="P209" s="376" t="s">
        <v>112</v>
      </c>
      <c r="Q209" s="377" t="str">
        <f t="shared" si="155"/>
        <v>E3.P_G.MR1-MP04-1</v>
      </c>
      <c r="R209" s="420" t="s">
        <v>1253</v>
      </c>
      <c r="S209" s="314" t="s">
        <v>1254</v>
      </c>
      <c r="T209" s="380">
        <v>51</v>
      </c>
      <c r="U209" s="381">
        <v>65</v>
      </c>
      <c r="V209" s="380" t="s">
        <v>67</v>
      </c>
      <c r="W209" s="295">
        <v>0</v>
      </c>
      <c r="X209" s="296">
        <v>5</v>
      </c>
      <c r="Y209" s="295">
        <v>6</v>
      </c>
      <c r="Z209" s="297">
        <v>3</v>
      </c>
      <c r="AA209" s="382"/>
      <c r="AB209" s="383"/>
      <c r="AC209" s="383"/>
      <c r="AD209" s="383"/>
      <c r="AE209" s="383"/>
      <c r="AF209" s="383"/>
      <c r="AG209" s="383"/>
      <c r="AH209" s="383"/>
      <c r="AI209" s="383"/>
      <c r="AJ209" s="383"/>
      <c r="AK209" s="383"/>
      <c r="AL209" s="383"/>
      <c r="AM209" s="383"/>
      <c r="AN209" s="383"/>
      <c r="AO209" s="383"/>
      <c r="AP209" s="383"/>
      <c r="AQ209" s="383"/>
      <c r="AR209" s="383"/>
      <c r="AS209" s="383"/>
      <c r="AT209" s="383"/>
      <c r="AU209" s="383"/>
      <c r="AV209" s="383"/>
      <c r="AW209" s="383"/>
      <c r="AX209" s="383"/>
      <c r="AY209" s="383"/>
      <c r="AZ209" s="383"/>
      <c r="BA209" s="383"/>
      <c r="BB209" s="383"/>
      <c r="BC209" s="384"/>
      <c r="BD209" s="301"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8" t="s">
        <v>1253</v>
      </c>
      <c r="EN209" s="274" t="s">
        <v>1254</v>
      </c>
      <c r="EO209" s="837">
        <v>51</v>
      </c>
      <c r="EP209" s="837">
        <v>65</v>
      </c>
      <c r="EQ209" s="806">
        <v>0</v>
      </c>
      <c r="ER209" s="814">
        <v>3</v>
      </c>
      <c r="ES209" s="806">
        <v>6</v>
      </c>
      <c r="ET209" s="830">
        <v>5</v>
      </c>
      <c r="EV209" s="659"/>
    </row>
    <row r="210" spans="1:152" ht="40.5" customHeight="1" thickBot="1" x14ac:dyDescent="0.25">
      <c r="A210" s="277" t="s">
        <v>90</v>
      </c>
      <c r="B210" s="428" t="s">
        <v>91</v>
      </c>
      <c r="C210" s="429" t="s">
        <v>992</v>
      </c>
      <c r="D210" s="429"/>
      <c r="E210" s="8" t="s">
        <v>752</v>
      </c>
      <c r="F210" s="281" t="str">
        <f t="shared" si="153"/>
        <v>E3.P_G</v>
      </c>
      <c r="G210" s="690" t="s">
        <v>318</v>
      </c>
      <c r="H210" s="690" t="s">
        <v>467</v>
      </c>
      <c r="I210" s="462"/>
      <c r="J210" s="463" t="s">
        <v>61</v>
      </c>
      <c r="K210" s="464" t="str">
        <f t="shared" si="154"/>
        <v>E3.P_G.MR1</v>
      </c>
      <c r="L210" s="424" t="s">
        <v>444</v>
      </c>
      <c r="M210" s="425" t="s">
        <v>1241</v>
      </c>
      <c r="N210" s="426">
        <v>5</v>
      </c>
      <c r="O210" s="426">
        <v>5</v>
      </c>
      <c r="P210" s="390" t="s">
        <v>122</v>
      </c>
      <c r="Q210" s="391" t="str">
        <f t="shared" si="155"/>
        <v>E3.P_G.MR1-MP05-1</v>
      </c>
      <c r="R210" s="475" t="s">
        <v>1257</v>
      </c>
      <c r="S210" s="337" t="s">
        <v>1258</v>
      </c>
      <c r="T210" s="618">
        <v>0</v>
      </c>
      <c r="U210" s="619">
        <v>1</v>
      </c>
      <c r="V210" s="392" t="s">
        <v>67</v>
      </c>
      <c r="W210" s="352">
        <v>0</v>
      </c>
      <c r="X210" s="620">
        <v>0.2</v>
      </c>
      <c r="Y210" s="402">
        <v>0.5</v>
      </c>
      <c r="Z210" s="403">
        <v>0.3</v>
      </c>
      <c r="AA210" s="382"/>
      <c r="AB210" s="383"/>
      <c r="AC210" s="383"/>
      <c r="AD210" s="383"/>
      <c r="AE210" s="383"/>
      <c r="AF210" s="383"/>
      <c r="AG210" s="383"/>
      <c r="AH210" s="383"/>
      <c r="AI210" s="383"/>
      <c r="AJ210" s="383"/>
      <c r="AK210" s="383"/>
      <c r="AL210" s="383"/>
      <c r="AM210" s="383"/>
      <c r="AN210" s="383"/>
      <c r="AO210" s="383"/>
      <c r="AP210" s="383"/>
      <c r="AQ210" s="383"/>
      <c r="AR210" s="383"/>
      <c r="AS210" s="383"/>
      <c r="AT210" s="383"/>
      <c r="AU210" s="383"/>
      <c r="AV210" s="383"/>
      <c r="AW210" s="383"/>
      <c r="AX210" s="383"/>
      <c r="AY210" s="383"/>
      <c r="AZ210" s="383"/>
      <c r="BA210" s="383"/>
      <c r="BB210" s="383"/>
      <c r="BC210" s="384"/>
      <c r="BD210" s="301"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8" t="s">
        <v>1257</v>
      </c>
      <c r="EN210" s="274" t="s">
        <v>1258</v>
      </c>
      <c r="EO210" s="385">
        <v>0</v>
      </c>
      <c r="EP210" s="385">
        <v>1</v>
      </c>
      <c r="EQ210" s="275">
        <v>0</v>
      </c>
      <c r="ER210" s="276">
        <v>0.2</v>
      </c>
      <c r="ES210" s="276">
        <v>0.5</v>
      </c>
      <c r="ET210" s="829">
        <v>0.3</v>
      </c>
    </row>
    <row r="211" spans="1:152" ht="156" customHeight="1" x14ac:dyDescent="0.2">
      <c r="A211" s="277" t="s">
        <v>90</v>
      </c>
      <c r="B211" s="428" t="s">
        <v>91</v>
      </c>
      <c r="C211" s="429" t="s">
        <v>992</v>
      </c>
      <c r="D211" s="430" t="s">
        <v>1217</v>
      </c>
      <c r="E211" s="3" t="s">
        <v>772</v>
      </c>
      <c r="F211" s="431" t="str">
        <f t="shared" si="153"/>
        <v>E3.P_H</v>
      </c>
      <c r="G211" s="691" t="s">
        <v>332</v>
      </c>
      <c r="H211" s="692" t="s">
        <v>475</v>
      </c>
      <c r="I211" s="693" t="s">
        <v>1261</v>
      </c>
      <c r="J211" s="454" t="s">
        <v>61</v>
      </c>
      <c r="K211" s="455" t="str">
        <f t="shared" si="154"/>
        <v>E3.P_H.MR1</v>
      </c>
      <c r="L211" s="360" t="s">
        <v>455</v>
      </c>
      <c r="M211" s="361" t="s">
        <v>1262</v>
      </c>
      <c r="N211" s="362">
        <v>41</v>
      </c>
      <c r="O211" s="247">
        <v>341</v>
      </c>
      <c r="P211" s="364" t="s">
        <v>64</v>
      </c>
      <c r="Q211" s="365" t="str">
        <f t="shared" si="155"/>
        <v>E3.P_H.MR1-MP01-1</v>
      </c>
      <c r="R211" s="621" t="s">
        <v>1263</v>
      </c>
      <c r="S211" s="519" t="s">
        <v>1264</v>
      </c>
      <c r="T211" s="520">
        <v>1</v>
      </c>
      <c r="U211" s="521">
        <v>1</v>
      </c>
      <c r="V211" s="520" t="s">
        <v>102</v>
      </c>
      <c r="W211" s="522">
        <v>0</v>
      </c>
      <c r="X211" s="625">
        <v>0.5</v>
      </c>
      <c r="Y211" s="624">
        <v>0.4</v>
      </c>
      <c r="Z211" s="626">
        <v>0.1</v>
      </c>
      <c r="AA211" s="589">
        <v>50000000</v>
      </c>
      <c r="AB211" s="590">
        <v>0</v>
      </c>
      <c r="AC211" s="590">
        <v>1450000000</v>
      </c>
      <c r="AD211" s="590">
        <v>0</v>
      </c>
      <c r="AE211" s="590">
        <v>0</v>
      </c>
      <c r="AF211" s="590">
        <v>0</v>
      </c>
      <c r="AG211" s="590">
        <f t="shared" ref="AG211" si="166">SUM(AA211:AF211)</f>
        <v>1500000000</v>
      </c>
      <c r="AH211" s="590">
        <v>145000000</v>
      </c>
      <c r="AI211" s="590">
        <f>+AB211</f>
        <v>0</v>
      </c>
      <c r="AJ211" s="590">
        <v>950500000</v>
      </c>
      <c r="AK211" s="590">
        <f t="shared" ref="AK211:AM211" si="167">+AD211</f>
        <v>0</v>
      </c>
      <c r="AL211" s="590">
        <f t="shared" si="167"/>
        <v>0</v>
      </c>
      <c r="AM211" s="590">
        <f t="shared" si="167"/>
        <v>0</v>
      </c>
      <c r="AN211" s="590">
        <f t="shared" ref="AN211" si="168">SUM(AH211:AM211)</f>
        <v>1095500000</v>
      </c>
      <c r="AO211" s="590">
        <v>115500000</v>
      </c>
      <c r="AP211" s="590">
        <f>+AI211</f>
        <v>0</v>
      </c>
      <c r="AQ211" s="590">
        <v>1474500000</v>
      </c>
      <c r="AR211" s="590">
        <f>+AK211</f>
        <v>0</v>
      </c>
      <c r="AS211" s="590">
        <f>+AL211</f>
        <v>0</v>
      </c>
      <c r="AT211" s="590">
        <f>+AM211</f>
        <v>0</v>
      </c>
      <c r="AU211" s="590">
        <f t="shared" ref="AU211" si="169">SUM(AO211:AT211)</f>
        <v>1590000000</v>
      </c>
      <c r="AV211" s="590">
        <v>170000000</v>
      </c>
      <c r="AW211" s="590">
        <f>+AP211</f>
        <v>0</v>
      </c>
      <c r="AX211" s="590">
        <v>450000000</v>
      </c>
      <c r="AY211" s="590">
        <f>+AR211</f>
        <v>0</v>
      </c>
      <c r="AZ211" s="590">
        <f>+AS211</f>
        <v>0</v>
      </c>
      <c r="BA211" s="590">
        <v>0</v>
      </c>
      <c r="BB211" s="590">
        <f t="shared" ref="BB211" si="170">SUM(AV211:BA211)</f>
        <v>620000000</v>
      </c>
      <c r="BC211" s="658">
        <f t="shared" ref="BC211" si="171">+BB211+AU211+AN211+AG211</f>
        <v>4805500000</v>
      </c>
      <c r="BD211" s="301"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8" t="s">
        <v>1263</v>
      </c>
      <c r="EN211" s="274" t="s">
        <v>1264</v>
      </c>
      <c r="EO211" s="274">
        <v>1</v>
      </c>
      <c r="EP211" s="274">
        <v>1</v>
      </c>
      <c r="EQ211" s="275">
        <v>0</v>
      </c>
      <c r="ER211" s="816">
        <v>0.25</v>
      </c>
      <c r="ES211" s="815">
        <v>0.5</v>
      </c>
      <c r="ET211" s="827">
        <v>0.25</v>
      </c>
    </row>
    <row r="212" spans="1:152" ht="87.75" customHeight="1" x14ac:dyDescent="0.2">
      <c r="A212" s="277" t="s">
        <v>90</v>
      </c>
      <c r="B212" s="428" t="s">
        <v>91</v>
      </c>
      <c r="C212" s="429" t="s">
        <v>992</v>
      </c>
      <c r="D212" s="429"/>
      <c r="E212" s="8" t="s">
        <v>772</v>
      </c>
      <c r="F212" s="281" t="str">
        <f t="shared" si="153"/>
        <v>E3.P_H</v>
      </c>
      <c r="G212" s="689" t="s">
        <v>332</v>
      </c>
      <c r="H212" s="689" t="s">
        <v>475</v>
      </c>
      <c r="I212" s="456"/>
      <c r="J212" s="457" t="s">
        <v>61</v>
      </c>
      <c r="K212" s="373" t="str">
        <f t="shared" si="154"/>
        <v>E3.P_H.MR1</v>
      </c>
      <c r="L212" s="408" t="s">
        <v>455</v>
      </c>
      <c r="M212" s="409" t="s">
        <v>1262</v>
      </c>
      <c r="N212" s="374">
        <v>41</v>
      </c>
      <c r="O212" s="288">
        <v>341</v>
      </c>
      <c r="P212" s="377" t="s">
        <v>87</v>
      </c>
      <c r="Q212" s="377" t="str">
        <f t="shared" si="155"/>
        <v>E3.P_H.MR1-MP02-1</v>
      </c>
      <c r="R212" s="627" t="s">
        <v>1267</v>
      </c>
      <c r="S212" s="528" t="s">
        <v>1268</v>
      </c>
      <c r="T212" s="529">
        <v>0</v>
      </c>
      <c r="U212" s="530">
        <v>1</v>
      </c>
      <c r="V212" s="529" t="s">
        <v>67</v>
      </c>
      <c r="W212" s="533">
        <v>0</v>
      </c>
      <c r="X212" s="545">
        <v>0.35</v>
      </c>
      <c r="Y212" s="544">
        <v>0.35</v>
      </c>
      <c r="Z212" s="540">
        <v>0.3</v>
      </c>
      <c r="AA212" s="535"/>
      <c r="AB212" s="536"/>
      <c r="AC212" s="536"/>
      <c r="AD212" s="536"/>
      <c r="AE212" s="536"/>
      <c r="AF212" s="536"/>
      <c r="AG212" s="536"/>
      <c r="AH212" s="536"/>
      <c r="AI212" s="536"/>
      <c r="AJ212" s="536"/>
      <c r="AK212" s="536"/>
      <c r="AL212" s="536"/>
      <c r="AM212" s="536"/>
      <c r="AN212" s="536"/>
      <c r="AO212" s="536"/>
      <c r="AP212" s="536"/>
      <c r="AQ212" s="536"/>
      <c r="AR212" s="536"/>
      <c r="AS212" s="536"/>
      <c r="AT212" s="536"/>
      <c r="AU212" s="536"/>
      <c r="AV212" s="536"/>
      <c r="AW212" s="536"/>
      <c r="AX212" s="536"/>
      <c r="AY212" s="536"/>
      <c r="AZ212" s="536"/>
      <c r="BA212" s="536"/>
      <c r="BB212" s="536"/>
      <c r="BC212" s="537"/>
      <c r="BD212" s="301"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8" t="s">
        <v>1267</v>
      </c>
      <c r="EN212" s="274" t="s">
        <v>1268</v>
      </c>
      <c r="EO212" s="274">
        <v>0</v>
      </c>
      <c r="EP212" s="274">
        <v>1</v>
      </c>
      <c r="EQ212" s="276">
        <v>0.1</v>
      </c>
      <c r="ER212" s="816">
        <v>0.9</v>
      </c>
      <c r="ES212" s="329">
        <v>0</v>
      </c>
      <c r="ET212" s="829">
        <v>0</v>
      </c>
    </row>
    <row r="213" spans="1:152" ht="51" customHeight="1" x14ac:dyDescent="0.2">
      <c r="A213" s="277" t="s">
        <v>90</v>
      </c>
      <c r="B213" s="428" t="s">
        <v>91</v>
      </c>
      <c r="C213" s="429" t="s">
        <v>992</v>
      </c>
      <c r="D213" s="429"/>
      <c r="E213" s="8" t="s">
        <v>772</v>
      </c>
      <c r="F213" s="281" t="str">
        <f t="shared" si="153"/>
        <v>E3.P_H</v>
      </c>
      <c r="G213" s="689" t="s">
        <v>332</v>
      </c>
      <c r="H213" s="689" t="s">
        <v>475</v>
      </c>
      <c r="I213" s="456"/>
      <c r="J213" s="457" t="s">
        <v>61</v>
      </c>
      <c r="K213" s="373" t="str">
        <f t="shared" si="154"/>
        <v>E3.P_H.MR1</v>
      </c>
      <c r="L213" s="408" t="s">
        <v>455</v>
      </c>
      <c r="M213" s="409" t="s">
        <v>1262</v>
      </c>
      <c r="N213" s="374">
        <v>41</v>
      </c>
      <c r="O213" s="288">
        <v>341</v>
      </c>
      <c r="P213" s="377" t="s">
        <v>1271</v>
      </c>
      <c r="Q213" s="377" t="str">
        <f t="shared" si="155"/>
        <v>E3.P_H.MR1-MP02-2</v>
      </c>
      <c r="R213" s="627" t="s">
        <v>1267</v>
      </c>
      <c r="S213" s="528" t="s">
        <v>1272</v>
      </c>
      <c r="T213" s="529">
        <v>0</v>
      </c>
      <c r="U213" s="530">
        <v>1</v>
      </c>
      <c r="V213" s="529" t="s">
        <v>67</v>
      </c>
      <c r="W213" s="544">
        <v>0.25</v>
      </c>
      <c r="X213" s="545">
        <v>0.25</v>
      </c>
      <c r="Y213" s="544">
        <v>0.25</v>
      </c>
      <c r="Z213" s="546">
        <v>0.25</v>
      </c>
      <c r="AA213" s="535"/>
      <c r="AB213" s="536"/>
      <c r="AC213" s="536"/>
      <c r="AD213" s="536"/>
      <c r="AE213" s="536"/>
      <c r="AF213" s="536"/>
      <c r="AG213" s="536"/>
      <c r="AH213" s="536"/>
      <c r="AI213" s="536"/>
      <c r="AJ213" s="536"/>
      <c r="AK213" s="536"/>
      <c r="AL213" s="536"/>
      <c r="AM213" s="536"/>
      <c r="AN213" s="536"/>
      <c r="AO213" s="536"/>
      <c r="AP213" s="536"/>
      <c r="AQ213" s="536"/>
      <c r="AR213" s="536"/>
      <c r="AS213" s="536"/>
      <c r="AT213" s="536"/>
      <c r="AU213" s="536"/>
      <c r="AV213" s="536"/>
      <c r="AW213" s="536"/>
      <c r="AX213" s="536"/>
      <c r="AY213" s="536"/>
      <c r="AZ213" s="536"/>
      <c r="BA213" s="536"/>
      <c r="BB213" s="536"/>
      <c r="BC213" s="537"/>
      <c r="BD213" s="301"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8" t="s">
        <v>1267</v>
      </c>
      <c r="EN213" s="274" t="s">
        <v>1272</v>
      </c>
      <c r="EO213" s="274">
        <v>0</v>
      </c>
      <c r="EP213" s="807">
        <v>1</v>
      </c>
      <c r="EQ213" s="809">
        <v>0</v>
      </c>
      <c r="ER213" s="816">
        <v>0.3</v>
      </c>
      <c r="ES213" s="809">
        <v>0.35</v>
      </c>
      <c r="ET213" s="847">
        <v>0.35</v>
      </c>
    </row>
    <row r="214" spans="1:152" ht="38.25" customHeight="1" x14ac:dyDescent="0.2">
      <c r="A214" s="277" t="s">
        <v>90</v>
      </c>
      <c r="B214" s="428" t="s">
        <v>91</v>
      </c>
      <c r="C214" s="429" t="s">
        <v>992</v>
      </c>
      <c r="D214" s="429"/>
      <c r="E214" s="8" t="s">
        <v>772</v>
      </c>
      <c r="F214" s="281" t="str">
        <f t="shared" si="153"/>
        <v>E3.P_H</v>
      </c>
      <c r="G214" s="689" t="s">
        <v>332</v>
      </c>
      <c r="H214" s="689" t="s">
        <v>475</v>
      </c>
      <c r="I214" s="456"/>
      <c r="J214" s="457" t="s">
        <v>61</v>
      </c>
      <c r="K214" s="373" t="str">
        <f t="shared" si="154"/>
        <v>E3.P_H.MR1</v>
      </c>
      <c r="L214" s="408" t="s">
        <v>455</v>
      </c>
      <c r="M214" s="409" t="s">
        <v>1262</v>
      </c>
      <c r="N214" s="374">
        <v>41</v>
      </c>
      <c r="O214" s="288">
        <v>341</v>
      </c>
      <c r="P214" s="376" t="s">
        <v>99</v>
      </c>
      <c r="Q214" s="377" t="str">
        <f t="shared" si="155"/>
        <v>E3.P_H.MR1-MP03-1</v>
      </c>
      <c r="R214" s="527" t="s">
        <v>1275</v>
      </c>
      <c r="S214" s="694" t="s">
        <v>1276</v>
      </c>
      <c r="T214" s="695">
        <v>2</v>
      </c>
      <c r="U214" s="696">
        <v>2</v>
      </c>
      <c r="V214" s="695" t="s">
        <v>102</v>
      </c>
      <c r="W214" s="697">
        <v>0</v>
      </c>
      <c r="X214" s="698">
        <v>0</v>
      </c>
      <c r="Y214" s="697">
        <v>2</v>
      </c>
      <c r="Z214" s="699">
        <v>0</v>
      </c>
      <c r="AA214" s="700"/>
      <c r="AB214" s="701"/>
      <c r="AC214" s="701"/>
      <c r="AD214" s="701"/>
      <c r="AE214" s="701"/>
      <c r="AF214" s="701"/>
      <c r="AG214" s="701"/>
      <c r="AH214" s="701"/>
      <c r="AI214" s="701"/>
      <c r="AJ214" s="701"/>
      <c r="AK214" s="701"/>
      <c r="AL214" s="701"/>
      <c r="AM214" s="701"/>
      <c r="AN214" s="701"/>
      <c r="AO214" s="701"/>
      <c r="AP214" s="701"/>
      <c r="AQ214" s="701"/>
      <c r="AR214" s="701"/>
      <c r="AS214" s="701"/>
      <c r="AT214" s="701"/>
      <c r="AU214" s="701"/>
      <c r="AV214" s="701"/>
      <c r="AW214" s="701"/>
      <c r="AX214" s="701"/>
      <c r="AY214" s="701"/>
      <c r="AZ214" s="701"/>
      <c r="BA214" s="701"/>
      <c r="BB214" s="701"/>
      <c r="BC214" s="702"/>
      <c r="BD214" s="703" t="s">
        <v>1221</v>
      </c>
      <c r="BE214" s="704"/>
      <c r="BF214" s="704"/>
      <c r="BG214" s="704"/>
      <c r="BH214" s="704"/>
      <c r="BI214" s="704"/>
      <c r="BJ214" s="704"/>
      <c r="BK214" s="704"/>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3" t="s">
        <v>1276</v>
      </c>
      <c r="EO214" s="273">
        <v>2</v>
      </c>
      <c r="EP214" s="273">
        <v>2</v>
      </c>
      <c r="EQ214" s="488">
        <v>0</v>
      </c>
      <c r="ER214" s="488">
        <v>0</v>
      </c>
      <c r="ES214" s="814">
        <v>1</v>
      </c>
      <c r="ET214" s="830">
        <v>1</v>
      </c>
    </row>
    <row r="215" spans="1:152" ht="63.75" customHeight="1" x14ac:dyDescent="0.2">
      <c r="A215" s="277" t="s">
        <v>90</v>
      </c>
      <c r="B215" s="428" t="s">
        <v>91</v>
      </c>
      <c r="C215" s="429" t="s">
        <v>992</v>
      </c>
      <c r="D215" s="429"/>
      <c r="E215" s="8" t="s">
        <v>772</v>
      </c>
      <c r="F215" s="281" t="str">
        <f t="shared" si="153"/>
        <v>E3.P_H</v>
      </c>
      <c r="G215" s="689" t="s">
        <v>332</v>
      </c>
      <c r="H215" s="689" t="s">
        <v>475</v>
      </c>
      <c r="I215" s="456"/>
      <c r="J215" s="457" t="s">
        <v>61</v>
      </c>
      <c r="K215" s="373" t="str">
        <f t="shared" si="154"/>
        <v>E3.P_H.MR1</v>
      </c>
      <c r="L215" s="408" t="s">
        <v>455</v>
      </c>
      <c r="M215" s="409" t="s">
        <v>1262</v>
      </c>
      <c r="N215" s="374">
        <v>41</v>
      </c>
      <c r="O215" s="288">
        <v>341</v>
      </c>
      <c r="P215" s="376" t="s">
        <v>112</v>
      </c>
      <c r="Q215" s="377" t="str">
        <f t="shared" si="155"/>
        <v>E3.P_H.MR1-MP04-1</v>
      </c>
      <c r="R215" s="627" t="s">
        <v>1279</v>
      </c>
      <c r="S215" s="528" t="s">
        <v>1280</v>
      </c>
      <c r="T215" s="529">
        <v>6</v>
      </c>
      <c r="U215" s="530">
        <v>8</v>
      </c>
      <c r="V215" s="529" t="s">
        <v>67</v>
      </c>
      <c r="W215" s="533">
        <v>2</v>
      </c>
      <c r="X215" s="674">
        <v>2</v>
      </c>
      <c r="Y215" s="533">
        <v>2</v>
      </c>
      <c r="Z215" s="534">
        <v>2</v>
      </c>
      <c r="AA215" s="535"/>
      <c r="AB215" s="536"/>
      <c r="AC215" s="536"/>
      <c r="AD215" s="536"/>
      <c r="AE215" s="536"/>
      <c r="AF215" s="536"/>
      <c r="AG215" s="536"/>
      <c r="AH215" s="536"/>
      <c r="AI215" s="536"/>
      <c r="AJ215" s="536"/>
      <c r="AK215" s="536"/>
      <c r="AL215" s="536"/>
      <c r="AM215" s="536"/>
      <c r="AN215" s="536"/>
      <c r="AO215" s="536"/>
      <c r="AP215" s="536"/>
      <c r="AQ215" s="536"/>
      <c r="AR215" s="536"/>
      <c r="AS215" s="536"/>
      <c r="AT215" s="536"/>
      <c r="AU215" s="536"/>
      <c r="AV215" s="536"/>
      <c r="AW215" s="536"/>
      <c r="AX215" s="536"/>
      <c r="AY215" s="536"/>
      <c r="AZ215" s="536"/>
      <c r="BA215" s="536"/>
      <c r="BB215" s="536"/>
      <c r="BC215" s="537"/>
      <c r="BD215" s="301"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8" t="s">
        <v>1279</v>
      </c>
      <c r="EN215" s="274" t="s">
        <v>1280</v>
      </c>
      <c r="EO215" s="274">
        <v>6</v>
      </c>
      <c r="EP215" s="274">
        <v>8</v>
      </c>
      <c r="EQ215" s="275">
        <v>2</v>
      </c>
      <c r="ER215" s="275">
        <v>2</v>
      </c>
      <c r="ES215" s="275">
        <v>2</v>
      </c>
      <c r="ET215" s="826">
        <v>2</v>
      </c>
    </row>
    <row r="216" spans="1:152" ht="49.5" customHeight="1" x14ac:dyDescent="0.2">
      <c r="A216" s="277" t="s">
        <v>90</v>
      </c>
      <c r="B216" s="428" t="s">
        <v>91</v>
      </c>
      <c r="C216" s="429" t="s">
        <v>992</v>
      </c>
      <c r="D216" s="429"/>
      <c r="E216" s="8" t="s">
        <v>772</v>
      </c>
      <c r="F216" s="281" t="str">
        <f t="shared" si="153"/>
        <v>E3.P_H</v>
      </c>
      <c r="G216" s="689" t="s">
        <v>332</v>
      </c>
      <c r="H216" s="689" t="s">
        <v>475</v>
      </c>
      <c r="I216" s="456"/>
      <c r="J216" s="457" t="s">
        <v>61</v>
      </c>
      <c r="K216" s="373" t="str">
        <f t="shared" si="154"/>
        <v>E3.P_H.MR1</v>
      </c>
      <c r="L216" s="408" t="s">
        <v>455</v>
      </c>
      <c r="M216" s="409" t="s">
        <v>1262</v>
      </c>
      <c r="N216" s="374">
        <v>41</v>
      </c>
      <c r="O216" s="288">
        <v>341</v>
      </c>
      <c r="P216" s="376" t="s">
        <v>122</v>
      </c>
      <c r="Q216" s="377" t="str">
        <f t="shared" si="155"/>
        <v>E3.P_H.MR1-MP05-1</v>
      </c>
      <c r="R216" s="627" t="s">
        <v>1283</v>
      </c>
      <c r="S216" s="528" t="s">
        <v>305</v>
      </c>
      <c r="T216" s="529">
        <v>1</v>
      </c>
      <c r="U216" s="530">
        <v>1</v>
      </c>
      <c r="V216" s="529" t="s">
        <v>102</v>
      </c>
      <c r="W216" s="544">
        <v>0.25</v>
      </c>
      <c r="X216" s="545">
        <v>0.25</v>
      </c>
      <c r="Y216" s="544">
        <v>0.25</v>
      </c>
      <c r="Z216" s="546">
        <v>0.25</v>
      </c>
      <c r="AA216" s="535"/>
      <c r="AB216" s="536"/>
      <c r="AC216" s="536"/>
      <c r="AD216" s="536"/>
      <c r="AE216" s="536"/>
      <c r="AF216" s="536"/>
      <c r="AG216" s="536"/>
      <c r="AH216" s="536"/>
      <c r="AI216" s="536"/>
      <c r="AJ216" s="536"/>
      <c r="AK216" s="536"/>
      <c r="AL216" s="536"/>
      <c r="AM216" s="536"/>
      <c r="AN216" s="536"/>
      <c r="AO216" s="536"/>
      <c r="AP216" s="536"/>
      <c r="AQ216" s="536"/>
      <c r="AR216" s="536"/>
      <c r="AS216" s="536"/>
      <c r="AT216" s="536"/>
      <c r="AU216" s="536"/>
      <c r="AV216" s="536"/>
      <c r="AW216" s="536"/>
      <c r="AX216" s="536"/>
      <c r="AY216" s="536"/>
      <c r="AZ216" s="536"/>
      <c r="BA216" s="536"/>
      <c r="BB216" s="536"/>
      <c r="BC216" s="537"/>
      <c r="BD216" s="301"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8" t="s">
        <v>1283</v>
      </c>
      <c r="EN216" s="274" t="s">
        <v>305</v>
      </c>
      <c r="EO216" s="274">
        <v>1</v>
      </c>
      <c r="EP216" s="274">
        <v>1</v>
      </c>
      <c r="EQ216" s="329">
        <v>0.25</v>
      </c>
      <c r="ER216" s="329">
        <v>0.25</v>
      </c>
      <c r="ES216" s="329">
        <v>0.25</v>
      </c>
      <c r="ET216" s="825">
        <v>0.25</v>
      </c>
    </row>
    <row r="217" spans="1:152" ht="52.5" customHeight="1" thickBot="1" x14ac:dyDescent="0.25">
      <c r="A217" s="277" t="s">
        <v>90</v>
      </c>
      <c r="B217" s="428" t="s">
        <v>91</v>
      </c>
      <c r="C217" s="429" t="s">
        <v>992</v>
      </c>
      <c r="D217" s="429"/>
      <c r="E217" s="8" t="s">
        <v>772</v>
      </c>
      <c r="F217" s="281" t="str">
        <f t="shared" si="153"/>
        <v>E3.P_H</v>
      </c>
      <c r="G217" s="690" t="s">
        <v>332</v>
      </c>
      <c r="H217" s="690" t="s">
        <v>475</v>
      </c>
      <c r="I217" s="462"/>
      <c r="J217" s="463" t="s">
        <v>61</v>
      </c>
      <c r="K217" s="464" t="str">
        <f t="shared" si="154"/>
        <v>E3.P_H.MR1</v>
      </c>
      <c r="L217" s="424" t="s">
        <v>455</v>
      </c>
      <c r="M217" s="425" t="s">
        <v>1262</v>
      </c>
      <c r="N217" s="388">
        <v>41</v>
      </c>
      <c r="O217" s="426">
        <v>341</v>
      </c>
      <c r="P217" s="390" t="s">
        <v>132</v>
      </c>
      <c r="Q217" s="391" t="str">
        <f t="shared" si="155"/>
        <v>E3.P_H.MR1-MP06-1</v>
      </c>
      <c r="R217" s="628" t="s">
        <v>1286</v>
      </c>
      <c r="S217" s="551" t="s">
        <v>1287</v>
      </c>
      <c r="T217" s="629">
        <v>0.05</v>
      </c>
      <c r="U217" s="630">
        <v>0.7</v>
      </c>
      <c r="V217" s="552" t="s">
        <v>67</v>
      </c>
      <c r="W217" s="705">
        <v>0.1</v>
      </c>
      <c r="X217" s="706">
        <v>0.1</v>
      </c>
      <c r="Y217" s="705">
        <v>0.4</v>
      </c>
      <c r="Z217" s="707">
        <v>0.4</v>
      </c>
      <c r="AA217" s="535"/>
      <c r="AB217" s="536"/>
      <c r="AC217" s="536"/>
      <c r="AD217" s="536"/>
      <c r="AE217" s="536"/>
      <c r="AF217" s="536"/>
      <c r="AG217" s="536"/>
      <c r="AH217" s="536"/>
      <c r="AI217" s="536"/>
      <c r="AJ217" s="536"/>
      <c r="AK217" s="536"/>
      <c r="AL217" s="536"/>
      <c r="AM217" s="536"/>
      <c r="AN217" s="536"/>
      <c r="AO217" s="536"/>
      <c r="AP217" s="536"/>
      <c r="AQ217" s="536"/>
      <c r="AR217" s="536"/>
      <c r="AS217" s="536"/>
      <c r="AT217" s="536"/>
      <c r="AU217" s="536"/>
      <c r="AV217" s="536"/>
      <c r="AW217" s="536"/>
      <c r="AX217" s="536"/>
      <c r="AY217" s="536"/>
      <c r="AZ217" s="536"/>
      <c r="BA217" s="536"/>
      <c r="BB217" s="536"/>
      <c r="BC217" s="537"/>
      <c r="BD217" s="301"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8" t="s">
        <v>1286</v>
      </c>
      <c r="EN217" s="274" t="s">
        <v>1287</v>
      </c>
      <c r="EO217" s="274">
        <v>0.05</v>
      </c>
      <c r="EP217" s="807">
        <v>0.7</v>
      </c>
      <c r="EQ217" s="805">
        <v>0.1</v>
      </c>
      <c r="ER217" s="816">
        <v>0.2</v>
      </c>
      <c r="ES217" s="815">
        <v>0.2</v>
      </c>
      <c r="ET217" s="824">
        <v>0.2</v>
      </c>
      <c r="EV217" s="708"/>
    </row>
    <row r="218" spans="1:152" ht="121.5" customHeight="1" x14ac:dyDescent="0.2">
      <c r="A218" s="277" t="s">
        <v>90</v>
      </c>
      <c r="B218" s="428" t="s">
        <v>91</v>
      </c>
      <c r="C218" s="429" t="s">
        <v>992</v>
      </c>
      <c r="D218" s="430" t="s">
        <v>1217</v>
      </c>
      <c r="E218" s="3" t="s">
        <v>802</v>
      </c>
      <c r="F218" s="431" t="str">
        <f t="shared" si="153"/>
        <v>E3.P_I</v>
      </c>
      <c r="G218" s="691" t="s">
        <v>343</v>
      </c>
      <c r="H218" s="692" t="s">
        <v>483</v>
      </c>
      <c r="I218" s="453" t="s">
        <v>1290</v>
      </c>
      <c r="J218" s="454" t="s">
        <v>61</v>
      </c>
      <c r="K218" s="455" t="str">
        <f t="shared" si="154"/>
        <v>E3.P_I.MR1</v>
      </c>
      <c r="L218" s="360" t="s">
        <v>463</v>
      </c>
      <c r="M218" s="361" t="s">
        <v>1291</v>
      </c>
      <c r="N218" s="404">
        <v>0.1</v>
      </c>
      <c r="O218" s="405">
        <v>0.3</v>
      </c>
      <c r="P218" s="709" t="s">
        <v>64</v>
      </c>
      <c r="Q218" s="710" t="str">
        <f t="shared" si="155"/>
        <v>E3.P_I.MR1-MP01-1</v>
      </c>
      <c r="R218" s="416" t="s">
        <v>1292</v>
      </c>
      <c r="S218" s="367" t="s">
        <v>1293</v>
      </c>
      <c r="T218" s="368">
        <v>0</v>
      </c>
      <c r="U218" s="369">
        <v>1</v>
      </c>
      <c r="V218" s="368" t="s">
        <v>67</v>
      </c>
      <c r="W218" s="561">
        <v>0.25</v>
      </c>
      <c r="X218" s="562">
        <v>0.25</v>
      </c>
      <c r="Y218" s="257">
        <v>0.5</v>
      </c>
      <c r="Z218" s="371">
        <v>0</v>
      </c>
      <c r="AA218" s="589">
        <v>22000000</v>
      </c>
      <c r="AB218" s="590">
        <v>0</v>
      </c>
      <c r="AC218" s="590">
        <v>0</v>
      </c>
      <c r="AD218" s="590">
        <v>0</v>
      </c>
      <c r="AE218" s="590">
        <v>0</v>
      </c>
      <c r="AF218" s="590">
        <v>0</v>
      </c>
      <c r="AG218" s="590">
        <f t="shared" ref="AG218" si="172">SUM(AA218:AF218)</f>
        <v>22000000</v>
      </c>
      <c r="AH218" s="590">
        <v>23000000</v>
      </c>
      <c r="AI218" s="590">
        <f>+AB218</f>
        <v>0</v>
      </c>
      <c r="AJ218" s="590">
        <f>+AC218</f>
        <v>0</v>
      </c>
      <c r="AK218" s="590">
        <f t="shared" ref="AK218:AM218" si="173">+AD218</f>
        <v>0</v>
      </c>
      <c r="AL218" s="590">
        <f t="shared" si="173"/>
        <v>0</v>
      </c>
      <c r="AM218" s="590">
        <f t="shared" si="173"/>
        <v>0</v>
      </c>
      <c r="AN218" s="590">
        <f t="shared" ref="AN218" si="174">SUM(AH218:AM218)</f>
        <v>23000000</v>
      </c>
      <c r="AO218" s="590">
        <v>44000000</v>
      </c>
      <c r="AP218" s="590">
        <f t="shared" ref="AP218:AT218" si="175">+AI218</f>
        <v>0</v>
      </c>
      <c r="AQ218" s="590">
        <f t="shared" si="175"/>
        <v>0</v>
      </c>
      <c r="AR218" s="590">
        <f t="shared" si="175"/>
        <v>0</v>
      </c>
      <c r="AS218" s="590">
        <f t="shared" si="175"/>
        <v>0</v>
      </c>
      <c r="AT218" s="590">
        <f t="shared" si="175"/>
        <v>0</v>
      </c>
      <c r="AU218" s="590">
        <f t="shared" ref="AU218" si="176">SUM(AO218:AT218)</f>
        <v>44000000</v>
      </c>
      <c r="AV218" s="590">
        <v>46000000</v>
      </c>
      <c r="AW218" s="590">
        <f t="shared" ref="AW218:BA218" si="177">+AP218</f>
        <v>0</v>
      </c>
      <c r="AX218" s="590">
        <f t="shared" si="177"/>
        <v>0</v>
      </c>
      <c r="AY218" s="590">
        <f t="shared" si="177"/>
        <v>0</v>
      </c>
      <c r="AZ218" s="590">
        <f t="shared" si="177"/>
        <v>0</v>
      </c>
      <c r="BA218" s="590">
        <f t="shared" si="177"/>
        <v>0</v>
      </c>
      <c r="BB218" s="590">
        <f t="shared" ref="BB218" si="178">SUM(AV218:BA218)</f>
        <v>46000000</v>
      </c>
      <c r="BC218" s="658">
        <f t="shared" ref="BC218" si="179">+BB218+AU218+AN218+AG218</f>
        <v>135000000</v>
      </c>
      <c r="BD218" s="301"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8" t="s">
        <v>1292</v>
      </c>
      <c r="EN218" s="274" t="s">
        <v>1293</v>
      </c>
      <c r="EO218" s="274">
        <v>0</v>
      </c>
      <c r="EP218" s="274">
        <v>1</v>
      </c>
      <c r="EQ218" s="329">
        <v>0</v>
      </c>
      <c r="ER218" s="816">
        <v>0</v>
      </c>
      <c r="ES218" s="276">
        <v>0.5</v>
      </c>
      <c r="ET218" s="824">
        <v>0.5</v>
      </c>
    </row>
    <row r="219" spans="1:152" ht="64.5" customHeight="1" x14ac:dyDescent="0.2">
      <c r="A219" s="277" t="s">
        <v>90</v>
      </c>
      <c r="B219" s="428" t="s">
        <v>91</v>
      </c>
      <c r="C219" s="429" t="s">
        <v>992</v>
      </c>
      <c r="D219" s="429"/>
      <c r="E219" s="8" t="s">
        <v>802</v>
      </c>
      <c r="F219" s="281" t="str">
        <f t="shared" si="153"/>
        <v>E3.P_I</v>
      </c>
      <c r="G219" s="689" t="s">
        <v>343</v>
      </c>
      <c r="H219" s="689" t="s">
        <v>483</v>
      </c>
      <c r="I219" s="456"/>
      <c r="J219" s="457" t="s">
        <v>61</v>
      </c>
      <c r="K219" s="373" t="str">
        <f t="shared" si="154"/>
        <v>E3.P_I.MR1</v>
      </c>
      <c r="L219" s="511" t="s">
        <v>463</v>
      </c>
      <c r="M219" s="512" t="s">
        <v>1291</v>
      </c>
      <c r="N219" s="410">
        <v>0.1</v>
      </c>
      <c r="O219" s="411">
        <v>0.3</v>
      </c>
      <c r="P219" s="711" t="s">
        <v>87</v>
      </c>
      <c r="Q219" s="712" t="str">
        <f t="shared" si="155"/>
        <v>E3.P_I.MR1-MP02-1</v>
      </c>
      <c r="R219" s="420" t="s">
        <v>1296</v>
      </c>
      <c r="S219" s="314" t="s">
        <v>1297</v>
      </c>
      <c r="T219" s="293">
        <v>35</v>
      </c>
      <c r="U219" s="294">
        <v>40</v>
      </c>
      <c r="V219" s="293" t="s">
        <v>67</v>
      </c>
      <c r="W219" s="295">
        <v>10</v>
      </c>
      <c r="X219" s="296">
        <v>10</v>
      </c>
      <c r="Y219" s="295">
        <v>10</v>
      </c>
      <c r="Z219" s="297">
        <v>10</v>
      </c>
      <c r="AA219" s="298"/>
      <c r="AB219" s="299"/>
      <c r="AC219" s="299"/>
      <c r="AD219" s="299"/>
      <c r="AE219" s="299"/>
      <c r="AF219" s="299"/>
      <c r="AG219" s="299"/>
      <c r="AH219" s="299"/>
      <c r="AI219" s="299"/>
      <c r="AJ219" s="299"/>
      <c r="AK219" s="299"/>
      <c r="AL219" s="299"/>
      <c r="AM219" s="299"/>
      <c r="AN219" s="299"/>
      <c r="AO219" s="299"/>
      <c r="AP219" s="299"/>
      <c r="AQ219" s="299"/>
      <c r="AR219" s="299"/>
      <c r="AS219" s="299"/>
      <c r="AT219" s="299"/>
      <c r="AU219" s="299"/>
      <c r="AV219" s="299"/>
      <c r="AW219" s="299"/>
      <c r="AX219" s="299"/>
      <c r="AY219" s="299"/>
      <c r="AZ219" s="299"/>
      <c r="BA219" s="299"/>
      <c r="BB219" s="299"/>
      <c r="BC219" s="300"/>
      <c r="BD219" s="301"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8" t="s">
        <v>1296</v>
      </c>
      <c r="EN219" s="274" t="s">
        <v>1297</v>
      </c>
      <c r="EO219" s="274">
        <v>35</v>
      </c>
      <c r="EP219" s="274">
        <v>40</v>
      </c>
      <c r="EQ219" s="275">
        <v>10</v>
      </c>
      <c r="ER219" s="275">
        <v>10</v>
      </c>
      <c r="ES219" s="275">
        <v>10</v>
      </c>
      <c r="ET219" s="826">
        <v>10</v>
      </c>
    </row>
    <row r="220" spans="1:152" ht="54" customHeight="1" thickBot="1" x14ac:dyDescent="0.25">
      <c r="A220" s="277" t="s">
        <v>90</v>
      </c>
      <c r="B220" s="428" t="s">
        <v>91</v>
      </c>
      <c r="C220" s="429" t="s">
        <v>992</v>
      </c>
      <c r="D220" s="429"/>
      <c r="E220" s="8" t="s">
        <v>802</v>
      </c>
      <c r="F220" s="281" t="str">
        <f t="shared" si="153"/>
        <v>E3.P_I</v>
      </c>
      <c r="G220" s="690" t="s">
        <v>343</v>
      </c>
      <c r="H220" s="690" t="s">
        <v>483</v>
      </c>
      <c r="I220" s="462"/>
      <c r="J220" s="463" t="s">
        <v>61</v>
      </c>
      <c r="K220" s="464" t="str">
        <f t="shared" si="154"/>
        <v>E3.P_I.MR1</v>
      </c>
      <c r="L220" s="547" t="s">
        <v>463</v>
      </c>
      <c r="M220" s="548" t="s">
        <v>1291</v>
      </c>
      <c r="N220" s="413">
        <v>0.1</v>
      </c>
      <c r="O220" s="414">
        <v>0.3</v>
      </c>
      <c r="P220" s="713" t="s">
        <v>99</v>
      </c>
      <c r="Q220" s="714" t="str">
        <f t="shared" si="155"/>
        <v>E3.P_I.MR1-MP03-1</v>
      </c>
      <c r="R220" s="475" t="s">
        <v>1300</v>
      </c>
      <c r="S220" s="337" t="s">
        <v>170</v>
      </c>
      <c r="T220" s="338">
        <v>0</v>
      </c>
      <c r="U220" s="339">
        <v>4</v>
      </c>
      <c r="V220" s="350" t="s">
        <v>67</v>
      </c>
      <c r="W220" s="352">
        <v>1</v>
      </c>
      <c r="X220" s="353">
        <v>1</v>
      </c>
      <c r="Y220" s="352">
        <v>1</v>
      </c>
      <c r="Z220" s="354">
        <v>1</v>
      </c>
      <c r="AA220" s="298"/>
      <c r="AB220" s="299"/>
      <c r="AC220" s="299"/>
      <c r="AD220" s="299"/>
      <c r="AE220" s="299"/>
      <c r="AF220" s="299"/>
      <c r="AG220" s="299"/>
      <c r="AH220" s="299"/>
      <c r="AI220" s="299"/>
      <c r="AJ220" s="299"/>
      <c r="AK220" s="299"/>
      <c r="AL220" s="299"/>
      <c r="AM220" s="299"/>
      <c r="AN220" s="299"/>
      <c r="AO220" s="299"/>
      <c r="AP220" s="299"/>
      <c r="AQ220" s="299"/>
      <c r="AR220" s="299"/>
      <c r="AS220" s="299"/>
      <c r="AT220" s="299"/>
      <c r="AU220" s="299"/>
      <c r="AV220" s="299"/>
      <c r="AW220" s="299"/>
      <c r="AX220" s="299"/>
      <c r="AY220" s="299"/>
      <c r="AZ220" s="299"/>
      <c r="BA220" s="299"/>
      <c r="BB220" s="299"/>
      <c r="BC220" s="300"/>
      <c r="BD220" s="301"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8" t="s">
        <v>1300</v>
      </c>
      <c r="EN220" s="274" t="s">
        <v>170</v>
      </c>
      <c r="EO220" s="274">
        <v>0</v>
      </c>
      <c r="EP220" s="274">
        <v>4</v>
      </c>
      <c r="EQ220" s="275">
        <v>1</v>
      </c>
      <c r="ER220" s="275">
        <v>1</v>
      </c>
      <c r="ES220" s="275">
        <v>1</v>
      </c>
      <c r="ET220" s="826">
        <v>1</v>
      </c>
    </row>
    <row r="221" spans="1:152" ht="156" customHeight="1" x14ac:dyDescent="0.2">
      <c r="A221" s="277" t="s">
        <v>90</v>
      </c>
      <c r="B221" s="428" t="s">
        <v>91</v>
      </c>
      <c r="C221" s="429" t="s">
        <v>992</v>
      </c>
      <c r="D221" s="430" t="s">
        <v>1217</v>
      </c>
      <c r="E221" s="3" t="s">
        <v>818</v>
      </c>
      <c r="F221" s="431" t="str">
        <f t="shared" si="153"/>
        <v>E3.P_J</v>
      </c>
      <c r="G221" s="432" t="s">
        <v>354</v>
      </c>
      <c r="H221" s="477" t="s">
        <v>491</v>
      </c>
      <c r="I221" s="453" t="s">
        <v>1303</v>
      </c>
      <c r="J221" s="454" t="s">
        <v>61</v>
      </c>
      <c r="K221" s="455" t="str">
        <f t="shared" si="154"/>
        <v>E3.P_J.MR1</v>
      </c>
      <c r="L221" s="360" t="s">
        <v>471</v>
      </c>
      <c r="M221" s="361" t="s">
        <v>1304</v>
      </c>
      <c r="N221" s="404">
        <v>1</v>
      </c>
      <c r="O221" s="405">
        <v>1</v>
      </c>
      <c r="P221" s="249" t="s">
        <v>64</v>
      </c>
      <c r="Q221" s="249" t="str">
        <f t="shared" si="155"/>
        <v>E3.P_J.MR1-MP01-1</v>
      </c>
      <c r="R221" s="715" t="s">
        <v>1305</v>
      </c>
      <c r="S221" s="716" t="s">
        <v>1306</v>
      </c>
      <c r="T221" s="368">
        <v>1</v>
      </c>
      <c r="U221" s="369">
        <v>1</v>
      </c>
      <c r="V221" s="368" t="s">
        <v>102</v>
      </c>
      <c r="W221" s="561">
        <v>0.25</v>
      </c>
      <c r="X221" s="562">
        <v>0.75</v>
      </c>
      <c r="Y221" s="255">
        <v>0</v>
      </c>
      <c r="Z221" s="371">
        <v>0</v>
      </c>
      <c r="AA221" s="589">
        <v>103000000</v>
      </c>
      <c r="AB221" s="590">
        <v>0</v>
      </c>
      <c r="AC221" s="590">
        <v>0</v>
      </c>
      <c r="AD221" s="590">
        <v>0</v>
      </c>
      <c r="AE221" s="590">
        <v>0</v>
      </c>
      <c r="AF221" s="590">
        <v>0</v>
      </c>
      <c r="AG221" s="590">
        <f t="shared" ref="AG221" si="180">SUM(AA221:AF221)</f>
        <v>103000000</v>
      </c>
      <c r="AH221" s="590">
        <v>79000000</v>
      </c>
      <c r="AI221" s="590">
        <f>+AB221</f>
        <v>0</v>
      </c>
      <c r="AJ221" s="590">
        <f>+AC221</f>
        <v>0</v>
      </c>
      <c r="AK221" s="590">
        <f t="shared" ref="AK221:AM221" si="181">+AD221</f>
        <v>0</v>
      </c>
      <c r="AL221" s="590">
        <f t="shared" si="181"/>
        <v>0</v>
      </c>
      <c r="AM221" s="590">
        <f t="shared" si="181"/>
        <v>0</v>
      </c>
      <c r="AN221" s="590">
        <f t="shared" ref="AN221" si="182">SUM(AH221:AM221)</f>
        <v>79000000</v>
      </c>
      <c r="AO221" s="590">
        <v>76500000</v>
      </c>
      <c r="AP221" s="590">
        <f t="shared" ref="AP221:AT221" si="183">+AI221</f>
        <v>0</v>
      </c>
      <c r="AQ221" s="590">
        <f t="shared" si="183"/>
        <v>0</v>
      </c>
      <c r="AR221" s="590">
        <f t="shared" si="183"/>
        <v>0</v>
      </c>
      <c r="AS221" s="590">
        <f t="shared" si="183"/>
        <v>0</v>
      </c>
      <c r="AT221" s="590">
        <f t="shared" si="183"/>
        <v>0</v>
      </c>
      <c r="AU221" s="590">
        <f t="shared" ref="AU221" si="184">SUM(AO221:AT221)</f>
        <v>76500000</v>
      </c>
      <c r="AV221" s="590">
        <v>105000000</v>
      </c>
      <c r="AW221" s="590">
        <f t="shared" ref="AW221:BA221" si="185">+AP221</f>
        <v>0</v>
      </c>
      <c r="AX221" s="590">
        <f t="shared" si="185"/>
        <v>0</v>
      </c>
      <c r="AY221" s="590">
        <f t="shared" si="185"/>
        <v>0</v>
      </c>
      <c r="AZ221" s="590">
        <f t="shared" si="185"/>
        <v>0</v>
      </c>
      <c r="BA221" s="590">
        <f t="shared" si="185"/>
        <v>0</v>
      </c>
      <c r="BB221" s="590">
        <f t="shared" ref="BB221" si="186">SUM(AV221:BA221)</f>
        <v>105000000</v>
      </c>
      <c r="BC221" s="658">
        <f t="shared" ref="BC221" si="187">+BB221+AU221+AN221+AG221</f>
        <v>363500000</v>
      </c>
      <c r="BD221" s="301"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3" t="s">
        <v>1306</v>
      </c>
      <c r="EO221" s="274">
        <v>1</v>
      </c>
      <c r="EP221" s="274">
        <v>1</v>
      </c>
      <c r="EQ221" s="329">
        <v>0.25</v>
      </c>
      <c r="ER221" s="329">
        <v>0.75</v>
      </c>
      <c r="ES221" s="275">
        <v>0</v>
      </c>
      <c r="ET221" s="826">
        <v>0</v>
      </c>
    </row>
    <row r="222" spans="1:152" ht="55.5" customHeight="1" x14ac:dyDescent="0.2">
      <c r="A222" s="277" t="s">
        <v>90</v>
      </c>
      <c r="B222" s="428" t="s">
        <v>91</v>
      </c>
      <c r="C222" s="429" t="s">
        <v>992</v>
      </c>
      <c r="D222" s="429"/>
      <c r="E222" s="8" t="s">
        <v>818</v>
      </c>
      <c r="F222" s="281" t="str">
        <f t="shared" si="153"/>
        <v>E3.P_J</v>
      </c>
      <c r="G222" s="452" t="s">
        <v>354</v>
      </c>
      <c r="H222" s="452" t="s">
        <v>491</v>
      </c>
      <c r="I222" s="456"/>
      <c r="J222" s="457" t="s">
        <v>61</v>
      </c>
      <c r="K222" s="373" t="str">
        <f t="shared" si="154"/>
        <v>E3.P_J.MR1</v>
      </c>
      <c r="L222" s="636" t="s">
        <v>471</v>
      </c>
      <c r="M222" s="429" t="s">
        <v>1304</v>
      </c>
      <c r="N222" s="410">
        <v>1</v>
      </c>
      <c r="O222" s="411">
        <v>1</v>
      </c>
      <c r="P222" s="290" t="s">
        <v>74</v>
      </c>
      <c r="Q222" s="290" t="str">
        <f t="shared" si="155"/>
        <v>E3.P_J.MR1-MP01-2</v>
      </c>
      <c r="R222" s="717" t="s">
        <v>1305</v>
      </c>
      <c r="S222" s="292" t="s">
        <v>1309</v>
      </c>
      <c r="T222" s="293">
        <v>1</v>
      </c>
      <c r="U222" s="294">
        <v>1</v>
      </c>
      <c r="V222" s="293" t="s">
        <v>102</v>
      </c>
      <c r="W222" s="321">
        <v>0.25</v>
      </c>
      <c r="X222" s="322">
        <v>0.25</v>
      </c>
      <c r="Y222" s="321">
        <v>0.25</v>
      </c>
      <c r="Z222" s="323">
        <v>0.25</v>
      </c>
      <c r="AA222" s="298"/>
      <c r="AB222" s="299"/>
      <c r="AC222" s="299"/>
      <c r="AD222" s="299"/>
      <c r="AE222" s="299"/>
      <c r="AF222" s="299"/>
      <c r="AG222" s="299"/>
      <c r="AH222" s="299"/>
      <c r="AI222" s="299"/>
      <c r="AJ222" s="299"/>
      <c r="AK222" s="299"/>
      <c r="AL222" s="299"/>
      <c r="AM222" s="299"/>
      <c r="AN222" s="299"/>
      <c r="AO222" s="299"/>
      <c r="AP222" s="299"/>
      <c r="AQ222" s="299"/>
      <c r="AR222" s="299"/>
      <c r="AS222" s="299"/>
      <c r="AT222" s="299"/>
      <c r="AU222" s="299"/>
      <c r="AV222" s="299"/>
      <c r="AW222" s="299"/>
      <c r="AX222" s="299"/>
      <c r="AY222" s="299"/>
      <c r="AZ222" s="299"/>
      <c r="BA222" s="299"/>
      <c r="BB222" s="299"/>
      <c r="BC222" s="300"/>
      <c r="BD222" s="301"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3" t="s">
        <v>1309</v>
      </c>
      <c r="EO222" s="274">
        <v>1</v>
      </c>
      <c r="EP222" s="274">
        <v>1</v>
      </c>
      <c r="EQ222" s="329">
        <v>0.25</v>
      </c>
      <c r="ER222" s="329">
        <v>0.25</v>
      </c>
      <c r="ES222" s="329">
        <v>0.25</v>
      </c>
      <c r="ET222" s="825">
        <v>0.25</v>
      </c>
    </row>
    <row r="223" spans="1:152" ht="35.25" customHeight="1" x14ac:dyDescent="0.2">
      <c r="A223" s="277" t="s">
        <v>90</v>
      </c>
      <c r="B223" s="428" t="s">
        <v>91</v>
      </c>
      <c r="C223" s="429" t="s">
        <v>992</v>
      </c>
      <c r="D223" s="429"/>
      <c r="E223" s="8" t="s">
        <v>818</v>
      </c>
      <c r="F223" s="281" t="str">
        <f t="shared" si="153"/>
        <v>E3.P_J</v>
      </c>
      <c r="G223" s="452" t="s">
        <v>354</v>
      </c>
      <c r="H223" s="452" t="s">
        <v>491</v>
      </c>
      <c r="I223" s="456"/>
      <c r="J223" s="457" t="s">
        <v>61</v>
      </c>
      <c r="K223" s="373" t="str">
        <f t="shared" si="154"/>
        <v>E3.P_J.MR1</v>
      </c>
      <c r="L223" s="636" t="s">
        <v>471</v>
      </c>
      <c r="M223" s="429" t="s">
        <v>1304</v>
      </c>
      <c r="N223" s="410">
        <v>1</v>
      </c>
      <c r="O223" s="411">
        <v>1</v>
      </c>
      <c r="P223" s="290" t="s">
        <v>87</v>
      </c>
      <c r="Q223" s="290" t="str">
        <f t="shared" si="155"/>
        <v>E3.P_J.MR1-MP02-1</v>
      </c>
      <c r="R223" s="420" t="s">
        <v>1312</v>
      </c>
      <c r="S223" s="314" t="s">
        <v>1313</v>
      </c>
      <c r="T223" s="293">
        <v>3</v>
      </c>
      <c r="U223" s="294">
        <v>3</v>
      </c>
      <c r="V223" s="293" t="s">
        <v>102</v>
      </c>
      <c r="W223" s="295">
        <v>0</v>
      </c>
      <c r="X223" s="296">
        <v>1</v>
      </c>
      <c r="Y223" s="295">
        <v>1</v>
      </c>
      <c r="Z223" s="297">
        <v>1</v>
      </c>
      <c r="AA223" s="298"/>
      <c r="AB223" s="299"/>
      <c r="AC223" s="299"/>
      <c r="AD223" s="299"/>
      <c r="AE223" s="299"/>
      <c r="AF223" s="299"/>
      <c r="AG223" s="299"/>
      <c r="AH223" s="299"/>
      <c r="AI223" s="299"/>
      <c r="AJ223" s="299"/>
      <c r="AK223" s="299"/>
      <c r="AL223" s="299"/>
      <c r="AM223" s="299"/>
      <c r="AN223" s="299"/>
      <c r="AO223" s="299"/>
      <c r="AP223" s="299"/>
      <c r="AQ223" s="299"/>
      <c r="AR223" s="299"/>
      <c r="AS223" s="299"/>
      <c r="AT223" s="299"/>
      <c r="AU223" s="299"/>
      <c r="AV223" s="299"/>
      <c r="AW223" s="299"/>
      <c r="AX223" s="299"/>
      <c r="AY223" s="299"/>
      <c r="AZ223" s="299"/>
      <c r="BA223" s="299"/>
      <c r="BB223" s="299"/>
      <c r="BC223" s="300"/>
      <c r="BD223" s="301"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8" t="s">
        <v>1312</v>
      </c>
      <c r="EN223" s="274" t="s">
        <v>1313</v>
      </c>
      <c r="EO223" s="274">
        <v>3</v>
      </c>
      <c r="EP223" s="274">
        <v>3</v>
      </c>
      <c r="EQ223" s="275">
        <v>0</v>
      </c>
      <c r="ER223" s="275">
        <v>1</v>
      </c>
      <c r="ES223" s="275">
        <v>1</v>
      </c>
      <c r="ET223" s="826">
        <v>1</v>
      </c>
    </row>
    <row r="224" spans="1:152" ht="62.25" customHeight="1" x14ac:dyDescent="0.2">
      <c r="A224" s="277" t="s">
        <v>90</v>
      </c>
      <c r="B224" s="428" t="s">
        <v>91</v>
      </c>
      <c r="C224" s="429" t="s">
        <v>992</v>
      </c>
      <c r="D224" s="429"/>
      <c r="E224" s="8" t="s">
        <v>818</v>
      </c>
      <c r="F224" s="281" t="str">
        <f t="shared" si="153"/>
        <v>E3.P_J</v>
      </c>
      <c r="G224" s="452" t="s">
        <v>354</v>
      </c>
      <c r="H224" s="452" t="s">
        <v>491</v>
      </c>
      <c r="I224" s="456"/>
      <c r="J224" s="457" t="s">
        <v>61</v>
      </c>
      <c r="K224" s="373" t="str">
        <f t="shared" si="154"/>
        <v>E3.P_J.MR1</v>
      </c>
      <c r="L224" s="636" t="s">
        <v>471</v>
      </c>
      <c r="M224" s="429" t="s">
        <v>1304</v>
      </c>
      <c r="N224" s="410">
        <v>1</v>
      </c>
      <c r="O224" s="411">
        <v>1</v>
      </c>
      <c r="P224" s="290" t="s">
        <v>99</v>
      </c>
      <c r="Q224" s="290" t="str">
        <f t="shared" si="155"/>
        <v>E3.P_J.MR1-MP03-1</v>
      </c>
      <c r="R224" s="717" t="s">
        <v>1316</v>
      </c>
      <c r="S224" s="292" t="s">
        <v>1317</v>
      </c>
      <c r="T224" s="293">
        <v>0.3</v>
      </c>
      <c r="U224" s="294">
        <v>1</v>
      </c>
      <c r="V224" s="293" t="s">
        <v>67</v>
      </c>
      <c r="W224" s="315">
        <v>0.2</v>
      </c>
      <c r="X224" s="330">
        <v>0.3</v>
      </c>
      <c r="Y224" s="321">
        <v>0.25</v>
      </c>
      <c r="Z224" s="323">
        <v>0.25</v>
      </c>
      <c r="AA224" s="298"/>
      <c r="AB224" s="299"/>
      <c r="AC224" s="299"/>
      <c r="AD224" s="299"/>
      <c r="AE224" s="299"/>
      <c r="AF224" s="299"/>
      <c r="AG224" s="299"/>
      <c r="AH224" s="299"/>
      <c r="AI224" s="299"/>
      <c r="AJ224" s="299"/>
      <c r="AK224" s="299"/>
      <c r="AL224" s="299"/>
      <c r="AM224" s="299"/>
      <c r="AN224" s="299"/>
      <c r="AO224" s="299"/>
      <c r="AP224" s="299"/>
      <c r="AQ224" s="299"/>
      <c r="AR224" s="299"/>
      <c r="AS224" s="299"/>
      <c r="AT224" s="299"/>
      <c r="AU224" s="299"/>
      <c r="AV224" s="299"/>
      <c r="AW224" s="299"/>
      <c r="AX224" s="299"/>
      <c r="AY224" s="299"/>
      <c r="AZ224" s="299"/>
      <c r="BA224" s="299"/>
      <c r="BB224" s="299"/>
      <c r="BC224" s="300"/>
      <c r="BD224" s="301"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3" t="s">
        <v>1317</v>
      </c>
      <c r="EO224" s="274">
        <v>0.3</v>
      </c>
      <c r="EP224" s="274">
        <v>1</v>
      </c>
      <c r="EQ224" s="276">
        <v>0.2</v>
      </c>
      <c r="ER224" s="815">
        <v>0.2</v>
      </c>
      <c r="ES224" s="816">
        <v>0.3</v>
      </c>
      <c r="ET224" s="827">
        <v>0.3</v>
      </c>
    </row>
    <row r="225" spans="1:150" ht="42.75" customHeight="1" x14ac:dyDescent="0.2">
      <c r="A225" s="277" t="s">
        <v>90</v>
      </c>
      <c r="B225" s="428" t="s">
        <v>91</v>
      </c>
      <c r="C225" s="429" t="s">
        <v>992</v>
      </c>
      <c r="D225" s="429"/>
      <c r="E225" s="8" t="s">
        <v>818</v>
      </c>
      <c r="F225" s="281" t="str">
        <f t="shared" si="153"/>
        <v>E3.P_J</v>
      </c>
      <c r="G225" s="452" t="s">
        <v>354</v>
      </c>
      <c r="H225" s="452" t="s">
        <v>491</v>
      </c>
      <c r="I225" s="456"/>
      <c r="J225" s="457" t="s">
        <v>61</v>
      </c>
      <c r="K225" s="373" t="str">
        <f t="shared" si="154"/>
        <v>E3.P_J.MR1</v>
      </c>
      <c r="L225" s="636" t="s">
        <v>471</v>
      </c>
      <c r="M225" s="429" t="s">
        <v>1304</v>
      </c>
      <c r="N225" s="410">
        <v>1</v>
      </c>
      <c r="O225" s="411">
        <v>1</v>
      </c>
      <c r="P225" s="290" t="s">
        <v>1320</v>
      </c>
      <c r="Q225" s="290" t="str">
        <f t="shared" si="155"/>
        <v>E3.P_J.MR1-MP03-2</v>
      </c>
      <c r="R225" s="717" t="s">
        <v>1316</v>
      </c>
      <c r="S225" s="292" t="s">
        <v>1321</v>
      </c>
      <c r="T225" s="293">
        <v>0</v>
      </c>
      <c r="U225" s="294">
        <v>1</v>
      </c>
      <c r="V225" s="293" t="s">
        <v>67</v>
      </c>
      <c r="W225" s="321">
        <v>0.25</v>
      </c>
      <c r="X225" s="322">
        <v>0.25</v>
      </c>
      <c r="Y225" s="321">
        <v>0.25</v>
      </c>
      <c r="Z225" s="323">
        <v>0.25</v>
      </c>
      <c r="AA225" s="298"/>
      <c r="AB225" s="299"/>
      <c r="AC225" s="299"/>
      <c r="AD225" s="299"/>
      <c r="AE225" s="299"/>
      <c r="AF225" s="299"/>
      <c r="AG225" s="299"/>
      <c r="AH225" s="299"/>
      <c r="AI225" s="299"/>
      <c r="AJ225" s="299"/>
      <c r="AK225" s="299"/>
      <c r="AL225" s="299"/>
      <c r="AM225" s="299"/>
      <c r="AN225" s="299"/>
      <c r="AO225" s="299"/>
      <c r="AP225" s="299"/>
      <c r="AQ225" s="299"/>
      <c r="AR225" s="299"/>
      <c r="AS225" s="299"/>
      <c r="AT225" s="299"/>
      <c r="AU225" s="299"/>
      <c r="AV225" s="299"/>
      <c r="AW225" s="299"/>
      <c r="AX225" s="299"/>
      <c r="AY225" s="299"/>
      <c r="AZ225" s="299"/>
      <c r="BA225" s="299"/>
      <c r="BB225" s="299"/>
      <c r="BC225" s="300"/>
      <c r="BD225" s="301"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3" t="s">
        <v>1321</v>
      </c>
      <c r="EO225" s="274">
        <v>0</v>
      </c>
      <c r="EP225" s="274">
        <v>1</v>
      </c>
      <c r="EQ225" s="329">
        <v>0</v>
      </c>
      <c r="ER225" s="816">
        <v>0</v>
      </c>
      <c r="ES225" s="816">
        <v>0.5</v>
      </c>
      <c r="ET225" s="827">
        <v>0.5</v>
      </c>
    </row>
    <row r="226" spans="1:150" ht="51.75" customHeight="1" x14ac:dyDescent="0.2">
      <c r="A226" s="277" t="s">
        <v>90</v>
      </c>
      <c r="B226" s="428" t="s">
        <v>91</v>
      </c>
      <c r="C226" s="429" t="s">
        <v>992</v>
      </c>
      <c r="D226" s="429"/>
      <c r="E226" s="8" t="s">
        <v>818</v>
      </c>
      <c r="F226" s="281" t="str">
        <f t="shared" si="153"/>
        <v>E3.P_J</v>
      </c>
      <c r="G226" s="452" t="s">
        <v>354</v>
      </c>
      <c r="H226" s="452" t="s">
        <v>491</v>
      </c>
      <c r="I226" s="456"/>
      <c r="J226" s="457" t="s">
        <v>61</v>
      </c>
      <c r="K226" s="373" t="str">
        <f t="shared" si="154"/>
        <v>E3.P_J.MR1</v>
      </c>
      <c r="L226" s="636" t="s">
        <v>471</v>
      </c>
      <c r="M226" s="429" t="s">
        <v>1304</v>
      </c>
      <c r="N226" s="410">
        <v>1</v>
      </c>
      <c r="O226" s="411">
        <v>1</v>
      </c>
      <c r="P226" s="290" t="s">
        <v>112</v>
      </c>
      <c r="Q226" s="290" t="str">
        <f t="shared" si="155"/>
        <v>E3.P_J.MR1-MP04-1</v>
      </c>
      <c r="R226" s="420" t="s">
        <v>1324</v>
      </c>
      <c r="S226" s="314" t="s">
        <v>1325</v>
      </c>
      <c r="T226" s="293">
        <v>1</v>
      </c>
      <c r="U226" s="294">
        <v>1</v>
      </c>
      <c r="V226" s="293" t="s">
        <v>102</v>
      </c>
      <c r="W226" s="321">
        <v>0.25</v>
      </c>
      <c r="X226" s="322">
        <v>0.25</v>
      </c>
      <c r="Y226" s="321">
        <v>0.25</v>
      </c>
      <c r="Z226" s="323">
        <v>0.25</v>
      </c>
      <c r="AA226" s="298"/>
      <c r="AB226" s="299"/>
      <c r="AC226" s="299"/>
      <c r="AD226" s="299"/>
      <c r="AE226" s="299"/>
      <c r="AF226" s="299"/>
      <c r="AG226" s="299"/>
      <c r="AH226" s="299"/>
      <c r="AI226" s="299"/>
      <c r="AJ226" s="299"/>
      <c r="AK226" s="299"/>
      <c r="AL226" s="299"/>
      <c r="AM226" s="299"/>
      <c r="AN226" s="299"/>
      <c r="AO226" s="299"/>
      <c r="AP226" s="299"/>
      <c r="AQ226" s="299"/>
      <c r="AR226" s="299"/>
      <c r="AS226" s="299"/>
      <c r="AT226" s="299"/>
      <c r="AU226" s="299"/>
      <c r="AV226" s="299"/>
      <c r="AW226" s="299"/>
      <c r="AX226" s="299"/>
      <c r="AY226" s="299"/>
      <c r="AZ226" s="299"/>
      <c r="BA226" s="299"/>
      <c r="BB226" s="299"/>
      <c r="BC226" s="300"/>
      <c r="BD226" s="301"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8" t="s">
        <v>1324</v>
      </c>
      <c r="EN226" s="274" t="s">
        <v>1325</v>
      </c>
      <c r="EO226" s="274">
        <v>1</v>
      </c>
      <c r="EP226" s="274">
        <v>1</v>
      </c>
      <c r="EQ226" s="329">
        <v>0.25</v>
      </c>
      <c r="ER226" s="329">
        <v>0.25</v>
      </c>
      <c r="ES226" s="329">
        <v>0.25</v>
      </c>
      <c r="ET226" s="825">
        <v>0.25</v>
      </c>
    </row>
    <row r="227" spans="1:150" ht="59.25" customHeight="1" x14ac:dyDescent="0.2">
      <c r="A227" s="277" t="s">
        <v>90</v>
      </c>
      <c r="B227" s="428" t="s">
        <v>91</v>
      </c>
      <c r="C227" s="429" t="s">
        <v>992</v>
      </c>
      <c r="D227" s="429"/>
      <c r="E227" s="8" t="s">
        <v>818</v>
      </c>
      <c r="F227" s="281" t="str">
        <f t="shared" si="153"/>
        <v>E3.P_J</v>
      </c>
      <c r="G227" s="452" t="s">
        <v>354</v>
      </c>
      <c r="H227" s="452" t="s">
        <v>491</v>
      </c>
      <c r="I227" s="456"/>
      <c r="J227" s="457" t="s">
        <v>61</v>
      </c>
      <c r="K227" s="373" t="str">
        <f t="shared" si="154"/>
        <v>E3.P_J.MR1</v>
      </c>
      <c r="L227" s="636" t="s">
        <v>471</v>
      </c>
      <c r="M227" s="429" t="s">
        <v>1304</v>
      </c>
      <c r="N227" s="410">
        <v>1</v>
      </c>
      <c r="O227" s="411">
        <v>1</v>
      </c>
      <c r="P227" s="290" t="s">
        <v>122</v>
      </c>
      <c r="Q227" s="290" t="str">
        <f t="shared" si="155"/>
        <v>E3.P_J.MR1-MP05-1</v>
      </c>
      <c r="R227" s="420" t="s">
        <v>1328</v>
      </c>
      <c r="S227" s="314" t="s">
        <v>1329</v>
      </c>
      <c r="T227" s="293">
        <v>0.25</v>
      </c>
      <c r="U227" s="294">
        <v>1</v>
      </c>
      <c r="V227" s="293" t="s">
        <v>67</v>
      </c>
      <c r="W227" s="315">
        <v>0.2</v>
      </c>
      <c r="X227" s="330">
        <v>0.3</v>
      </c>
      <c r="Y227" s="321">
        <v>0.25</v>
      </c>
      <c r="Z227" s="323">
        <v>0.25</v>
      </c>
      <c r="AA227" s="298"/>
      <c r="AB227" s="299"/>
      <c r="AC227" s="299"/>
      <c r="AD227" s="299"/>
      <c r="AE227" s="299"/>
      <c r="AF227" s="299"/>
      <c r="AG227" s="299"/>
      <c r="AH227" s="299"/>
      <c r="AI227" s="299"/>
      <c r="AJ227" s="299"/>
      <c r="AK227" s="299"/>
      <c r="AL227" s="299"/>
      <c r="AM227" s="299"/>
      <c r="AN227" s="299"/>
      <c r="AO227" s="299"/>
      <c r="AP227" s="299"/>
      <c r="AQ227" s="299"/>
      <c r="AR227" s="299"/>
      <c r="AS227" s="299"/>
      <c r="AT227" s="299"/>
      <c r="AU227" s="299"/>
      <c r="AV227" s="299"/>
      <c r="AW227" s="299"/>
      <c r="AX227" s="299"/>
      <c r="AY227" s="299"/>
      <c r="AZ227" s="299"/>
      <c r="BA227" s="299"/>
      <c r="BB227" s="299"/>
      <c r="BC227" s="300"/>
      <c r="BD227" s="301"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8" t="s">
        <v>1328</v>
      </c>
      <c r="EN227" s="274" t="s">
        <v>1329</v>
      </c>
      <c r="EO227" s="274">
        <v>0.25</v>
      </c>
      <c r="EP227" s="274">
        <v>1</v>
      </c>
      <c r="EQ227" s="276">
        <v>0.2</v>
      </c>
      <c r="ER227" s="276">
        <v>0.3</v>
      </c>
      <c r="ES227" s="329">
        <v>0.25</v>
      </c>
      <c r="ET227" s="825">
        <v>0.25</v>
      </c>
    </row>
    <row r="228" spans="1:150" ht="53.25" customHeight="1" thickBot="1" x14ac:dyDescent="0.25">
      <c r="A228" s="277" t="s">
        <v>90</v>
      </c>
      <c r="B228" s="428" t="s">
        <v>91</v>
      </c>
      <c r="C228" s="429" t="s">
        <v>992</v>
      </c>
      <c r="D228" s="429"/>
      <c r="E228" s="8" t="s">
        <v>818</v>
      </c>
      <c r="F228" s="281" t="str">
        <f t="shared" si="153"/>
        <v>E3.P_J</v>
      </c>
      <c r="G228" s="564" t="s">
        <v>354</v>
      </c>
      <c r="H228" s="564" t="s">
        <v>491</v>
      </c>
      <c r="I228" s="462"/>
      <c r="J228" s="463" t="s">
        <v>61</v>
      </c>
      <c r="K228" s="464" t="str">
        <f t="shared" si="154"/>
        <v>E3.P_J.MR1</v>
      </c>
      <c r="L228" s="637" t="s">
        <v>471</v>
      </c>
      <c r="M228" s="597" t="s">
        <v>1304</v>
      </c>
      <c r="N228" s="413">
        <v>1</v>
      </c>
      <c r="O228" s="414">
        <v>1</v>
      </c>
      <c r="P228" s="346" t="s">
        <v>132</v>
      </c>
      <c r="Q228" s="347" t="str">
        <f t="shared" si="155"/>
        <v>E3.P_J.MR1-MP06-1</v>
      </c>
      <c r="R228" s="475" t="s">
        <v>1332</v>
      </c>
      <c r="S228" s="337" t="s">
        <v>1333</v>
      </c>
      <c r="T228" s="338">
        <v>1</v>
      </c>
      <c r="U228" s="339">
        <v>4</v>
      </c>
      <c r="V228" s="350" t="s">
        <v>67</v>
      </c>
      <c r="W228" s="352">
        <v>1</v>
      </c>
      <c r="X228" s="353">
        <v>1</v>
      </c>
      <c r="Y228" s="352">
        <v>1</v>
      </c>
      <c r="Z228" s="354">
        <v>1</v>
      </c>
      <c r="AA228" s="298"/>
      <c r="AB228" s="299"/>
      <c r="AC228" s="299"/>
      <c r="AD228" s="299"/>
      <c r="AE228" s="299"/>
      <c r="AF228" s="299"/>
      <c r="AG228" s="299"/>
      <c r="AH228" s="299"/>
      <c r="AI228" s="299"/>
      <c r="AJ228" s="299"/>
      <c r="AK228" s="299"/>
      <c r="AL228" s="299"/>
      <c r="AM228" s="299"/>
      <c r="AN228" s="299"/>
      <c r="AO228" s="299"/>
      <c r="AP228" s="299"/>
      <c r="AQ228" s="299"/>
      <c r="AR228" s="299"/>
      <c r="AS228" s="299"/>
      <c r="AT228" s="299"/>
      <c r="AU228" s="299"/>
      <c r="AV228" s="299"/>
      <c r="AW228" s="299"/>
      <c r="AX228" s="299"/>
      <c r="AY228" s="299"/>
      <c r="AZ228" s="299"/>
      <c r="BA228" s="299"/>
      <c r="BB228" s="299"/>
      <c r="BC228" s="300"/>
      <c r="BD228" s="301"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8" t="s">
        <v>1332</v>
      </c>
      <c r="EN228" s="274" t="s">
        <v>1333</v>
      </c>
      <c r="EO228" s="274">
        <v>1</v>
      </c>
      <c r="EP228" s="274">
        <v>4</v>
      </c>
      <c r="EQ228" s="275">
        <v>0</v>
      </c>
      <c r="ER228" s="814">
        <v>1</v>
      </c>
      <c r="ES228" s="814">
        <v>3</v>
      </c>
      <c r="ET228" s="830">
        <v>0</v>
      </c>
    </row>
    <row r="229" spans="1:150" ht="174" customHeight="1" thickBot="1" x14ac:dyDescent="0.25">
      <c r="A229" s="277" t="s">
        <v>90</v>
      </c>
      <c r="B229" s="428" t="s">
        <v>91</v>
      </c>
      <c r="C229" s="429" t="s">
        <v>992</v>
      </c>
      <c r="D229" s="430" t="s">
        <v>1217</v>
      </c>
      <c r="E229" s="25" t="s">
        <v>1336</v>
      </c>
      <c r="F229" s="718" t="str">
        <f t="shared" si="153"/>
        <v>E3.P_K</v>
      </c>
      <c r="G229" s="719" t="s">
        <v>365</v>
      </c>
      <c r="H229" s="720" t="s">
        <v>499</v>
      </c>
      <c r="I229" s="660" t="s">
        <v>1337</v>
      </c>
      <c r="J229" s="721" t="s">
        <v>61</v>
      </c>
      <c r="K229" s="722" t="str">
        <f t="shared" si="154"/>
        <v>E3.P_K.MR1</v>
      </c>
      <c r="L229" s="575" t="s">
        <v>479</v>
      </c>
      <c r="M229" s="576" t="s">
        <v>1338</v>
      </c>
      <c r="N229" s="584">
        <v>0</v>
      </c>
      <c r="O229" s="663">
        <v>23</v>
      </c>
      <c r="P229" s="723" t="s">
        <v>64</v>
      </c>
      <c r="Q229" s="25" t="str">
        <f t="shared" si="155"/>
        <v>E3.P_K.MR1-MP01-1</v>
      </c>
      <c r="R229" s="576" t="s">
        <v>1339</v>
      </c>
      <c r="S229" s="664" t="s">
        <v>1340</v>
      </c>
      <c r="T229" s="583">
        <v>0</v>
      </c>
      <c r="U229" s="584">
        <v>23</v>
      </c>
      <c r="V229" s="583" t="s">
        <v>67</v>
      </c>
      <c r="W229" s="724">
        <v>4</v>
      </c>
      <c r="X229" s="725">
        <v>2</v>
      </c>
      <c r="Y229" s="724">
        <v>9</v>
      </c>
      <c r="Z229" s="726">
        <v>8</v>
      </c>
      <c r="AA229" s="727">
        <f>200000000+150000000+1915448+354547783</f>
        <v>706463231</v>
      </c>
      <c r="AB229" s="728">
        <v>0</v>
      </c>
      <c r="AC229" s="728">
        <v>0</v>
      </c>
      <c r="AD229" s="728">
        <v>0</v>
      </c>
      <c r="AE229" s="728">
        <v>0</v>
      </c>
      <c r="AF229" s="728">
        <v>493536769</v>
      </c>
      <c r="AG229" s="728">
        <f t="shared" ref="AG229:AG230" si="188">SUM(AA229:AF229)</f>
        <v>1200000000</v>
      </c>
      <c r="AH229" s="728">
        <f t="shared" ref="AH229:AM229" si="189">AA229*1.035</f>
        <v>731189444.08499992</v>
      </c>
      <c r="AI229" s="728">
        <f t="shared" si="189"/>
        <v>0</v>
      </c>
      <c r="AJ229" s="728">
        <f t="shared" si="189"/>
        <v>0</v>
      </c>
      <c r="AK229" s="728">
        <f t="shared" si="189"/>
        <v>0</v>
      </c>
      <c r="AL229" s="728">
        <f t="shared" si="189"/>
        <v>0</v>
      </c>
      <c r="AM229" s="728">
        <f t="shared" si="189"/>
        <v>510810555.91499996</v>
      </c>
      <c r="AN229" s="728">
        <f t="shared" ref="AN229:AN230" si="190">SUM(AH229:AM229)</f>
        <v>1242000000</v>
      </c>
      <c r="AO229" s="728">
        <f t="shared" ref="AO229:AT229" si="191">AH229*1.035</f>
        <v>756781074.62797487</v>
      </c>
      <c r="AP229" s="728">
        <f t="shared" si="191"/>
        <v>0</v>
      </c>
      <c r="AQ229" s="728">
        <f t="shared" si="191"/>
        <v>0</v>
      </c>
      <c r="AR229" s="728">
        <f t="shared" si="191"/>
        <v>0</v>
      </c>
      <c r="AS229" s="728">
        <f t="shared" si="191"/>
        <v>0</v>
      </c>
      <c r="AT229" s="728">
        <f t="shared" si="191"/>
        <v>528688925.37202489</v>
      </c>
      <c r="AU229" s="728">
        <f t="shared" ref="AU229:AU230" si="192">SUM(AO229:AT229)</f>
        <v>1285469999.9999998</v>
      </c>
      <c r="AV229" s="728">
        <f t="shared" ref="AV229:BA229" si="193">AO229*1.035</f>
        <v>783268412.23995388</v>
      </c>
      <c r="AW229" s="728">
        <f t="shared" si="193"/>
        <v>0</v>
      </c>
      <c r="AX229" s="728">
        <f t="shared" si="193"/>
        <v>0</v>
      </c>
      <c r="AY229" s="728">
        <f t="shared" si="193"/>
        <v>0</v>
      </c>
      <c r="AZ229" s="728">
        <f t="shared" si="193"/>
        <v>0</v>
      </c>
      <c r="BA229" s="728">
        <f t="shared" si="193"/>
        <v>547193037.76004577</v>
      </c>
      <c r="BB229" s="728">
        <f t="shared" ref="BB229:BB230" si="194">SUM(AV229:BA229)</f>
        <v>1330461449.9999995</v>
      </c>
      <c r="BC229" s="729">
        <f t="shared" ref="BC229:BC230" si="195">+BB229+AU229+AN229+AG229</f>
        <v>5057931449.999999</v>
      </c>
      <c r="BD229" s="301" t="s">
        <v>1221</v>
      </c>
      <c r="BS229" s="90" t="s">
        <v>470</v>
      </c>
      <c r="BT229" s="90" t="s">
        <v>471</v>
      </c>
      <c r="BU229" s="91" t="s">
        <v>1334</v>
      </c>
      <c r="BV229" s="88" t="s">
        <v>1332</v>
      </c>
      <c r="BW229" s="730"/>
      <c r="DH229" s="7" t="s">
        <v>1342</v>
      </c>
      <c r="DI229" s="7" t="s">
        <v>384</v>
      </c>
      <c r="DJ229" s="7" t="s">
        <v>490</v>
      </c>
      <c r="DK229" s="7" t="s">
        <v>491</v>
      </c>
      <c r="DL229" s="7" t="s">
        <v>489</v>
      </c>
      <c r="DQ229" s="7" t="s">
        <v>1334</v>
      </c>
      <c r="DR229" s="7" t="s">
        <v>1332</v>
      </c>
      <c r="EL229" s="828" t="s">
        <v>1341</v>
      </c>
      <c r="EM229" s="318" t="s">
        <v>1339</v>
      </c>
      <c r="EN229" s="274" t="s">
        <v>1340</v>
      </c>
      <c r="EO229" s="274">
        <v>0</v>
      </c>
      <c r="EP229" s="274">
        <v>23</v>
      </c>
      <c r="EQ229" s="275">
        <v>4</v>
      </c>
      <c r="ER229" s="814">
        <v>10</v>
      </c>
      <c r="ES229" s="814">
        <v>6</v>
      </c>
      <c r="ET229" s="830">
        <v>3</v>
      </c>
    </row>
    <row r="230" spans="1:150" ht="100.5" customHeight="1" x14ac:dyDescent="0.2">
      <c r="A230" s="277" t="s">
        <v>90</v>
      </c>
      <c r="B230" s="428" t="s">
        <v>91</v>
      </c>
      <c r="C230" s="429" t="s">
        <v>992</v>
      </c>
      <c r="D230" s="430" t="s">
        <v>1127</v>
      </c>
      <c r="E230" s="26" t="s">
        <v>1343</v>
      </c>
      <c r="F230" s="239" t="str">
        <f t="shared" si="153"/>
        <v>E3.P_L</v>
      </c>
      <c r="G230" s="731" t="s">
        <v>379</v>
      </c>
      <c r="H230" s="241" t="s">
        <v>507</v>
      </c>
      <c r="I230" s="655" t="s">
        <v>1344</v>
      </c>
      <c r="J230" s="454" t="s">
        <v>61</v>
      </c>
      <c r="K230" s="455" t="str">
        <f t="shared" si="154"/>
        <v>E3.P_L.MR1</v>
      </c>
      <c r="L230" s="514" t="s">
        <v>487</v>
      </c>
      <c r="M230" s="732" t="s">
        <v>1345</v>
      </c>
      <c r="N230" s="733" t="s">
        <v>1346</v>
      </c>
      <c r="O230" s="734" t="s">
        <v>1347</v>
      </c>
      <c r="P230" s="709" t="s">
        <v>64</v>
      </c>
      <c r="Q230" s="710" t="str">
        <f t="shared" si="155"/>
        <v>E3.P_L.MR1-MP01-1</v>
      </c>
      <c r="R230" s="621" t="s">
        <v>1348</v>
      </c>
      <c r="S230" s="519" t="s">
        <v>1349</v>
      </c>
      <c r="T230" s="520">
        <v>3</v>
      </c>
      <c r="U230" s="521">
        <v>3</v>
      </c>
      <c r="V230" s="520" t="s">
        <v>67</v>
      </c>
      <c r="W230" s="624">
        <v>0.2</v>
      </c>
      <c r="X230" s="625">
        <v>0.8</v>
      </c>
      <c r="Y230" s="522">
        <v>1</v>
      </c>
      <c r="Z230" s="668">
        <v>1</v>
      </c>
      <c r="AA230" s="589">
        <f>5419364376-6121067476+701703100</f>
        <v>0</v>
      </c>
      <c r="AB230" s="590">
        <v>980802926</v>
      </c>
      <c r="AC230" s="590">
        <v>510000000</v>
      </c>
      <c r="AD230" s="590">
        <v>0</v>
      </c>
      <c r="AE230" s="590">
        <v>0</v>
      </c>
      <c r="AF230" s="590">
        <v>4347947000</v>
      </c>
      <c r="AG230" s="590">
        <f t="shared" si="188"/>
        <v>5838749926</v>
      </c>
      <c r="AH230" s="590">
        <f>AA230*1.035</f>
        <v>0</v>
      </c>
      <c r="AI230" s="590">
        <v>800000000</v>
      </c>
      <c r="AJ230" s="590">
        <v>395529000</v>
      </c>
      <c r="AK230" s="590">
        <f>AD230*1.035</f>
        <v>0</v>
      </c>
      <c r="AL230" s="590">
        <f>AE230*1.035</f>
        <v>0</v>
      </c>
      <c r="AM230" s="590">
        <v>4855322000</v>
      </c>
      <c r="AN230" s="590">
        <f t="shared" si="190"/>
        <v>6050851000</v>
      </c>
      <c r="AO230" s="590">
        <f>AH230*1.035</f>
        <v>0</v>
      </c>
      <c r="AP230" s="590">
        <v>1050660000</v>
      </c>
      <c r="AQ230" s="590">
        <v>199710000</v>
      </c>
      <c r="AR230" s="590">
        <f>AK230*1.035</f>
        <v>0</v>
      </c>
      <c r="AS230" s="590">
        <f>AL230*1.035</f>
        <v>0</v>
      </c>
      <c r="AT230" s="590">
        <v>5124277000</v>
      </c>
      <c r="AU230" s="590">
        <f t="shared" si="192"/>
        <v>6374647000</v>
      </c>
      <c r="AV230" s="590">
        <v>624555000</v>
      </c>
      <c r="AW230" s="590">
        <f>AP230*1.035</f>
        <v>1087433100</v>
      </c>
      <c r="AX230" s="590">
        <v>0</v>
      </c>
      <c r="AY230" s="590">
        <f>AR230*1.035</f>
        <v>0</v>
      </c>
      <c r="AZ230" s="590">
        <f>AS230*1.035</f>
        <v>0</v>
      </c>
      <c r="BA230" s="590">
        <v>4639918000</v>
      </c>
      <c r="BB230" s="590">
        <f t="shared" si="194"/>
        <v>6351906100</v>
      </c>
      <c r="BC230" s="658">
        <f t="shared" si="195"/>
        <v>24616154026</v>
      </c>
      <c r="BD230" s="301"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8" t="s">
        <v>1348</v>
      </c>
      <c r="EN230" s="274" t="s">
        <v>1349</v>
      </c>
      <c r="EO230" s="274">
        <v>3</v>
      </c>
      <c r="EP230" s="274">
        <v>3</v>
      </c>
      <c r="EQ230" s="276">
        <v>0.2</v>
      </c>
      <c r="ER230" s="815">
        <v>0.2</v>
      </c>
      <c r="ES230" s="815">
        <v>1.4</v>
      </c>
      <c r="ET230" s="824">
        <v>1.2</v>
      </c>
    </row>
    <row r="231" spans="1:150" ht="54" customHeight="1" x14ac:dyDescent="0.2">
      <c r="A231" s="277" t="s">
        <v>90</v>
      </c>
      <c r="B231" s="428" t="s">
        <v>91</v>
      </c>
      <c r="C231" s="429" t="s">
        <v>992</v>
      </c>
      <c r="D231" s="429"/>
      <c r="E231" s="8" t="s">
        <v>1343</v>
      </c>
      <c r="F231" s="281" t="str">
        <f t="shared" si="153"/>
        <v>E3.P_L</v>
      </c>
      <c r="G231" s="452" t="s">
        <v>379</v>
      </c>
      <c r="H231" s="452" t="s">
        <v>507</v>
      </c>
      <c r="I231" s="735"/>
      <c r="J231" s="281" t="s">
        <v>61</v>
      </c>
      <c r="K231" s="647" t="str">
        <f t="shared" si="154"/>
        <v>E3.P_L.MR1</v>
      </c>
      <c r="L231" s="408" t="s">
        <v>487</v>
      </c>
      <c r="M231" s="409" t="s">
        <v>1352</v>
      </c>
      <c r="N231" s="736" t="s">
        <v>1346</v>
      </c>
      <c r="O231" s="737" t="s">
        <v>1347</v>
      </c>
      <c r="P231" s="711" t="s">
        <v>87</v>
      </c>
      <c r="Q231" s="712" t="str">
        <f t="shared" si="155"/>
        <v>E3.P_L.MR1-MP02-1</v>
      </c>
      <c r="R231" s="627" t="s">
        <v>1353</v>
      </c>
      <c r="S231" s="528" t="s">
        <v>1354</v>
      </c>
      <c r="T231" s="529">
        <v>0</v>
      </c>
      <c r="U231" s="539">
        <v>0.8</v>
      </c>
      <c r="V231" s="538" t="s">
        <v>67</v>
      </c>
      <c r="W231" s="533">
        <v>0</v>
      </c>
      <c r="X231" s="532">
        <v>0.4</v>
      </c>
      <c r="Y231" s="531">
        <v>0.2</v>
      </c>
      <c r="Z231" s="540">
        <v>0.2</v>
      </c>
      <c r="AA231" s="541"/>
      <c r="AB231" s="542"/>
      <c r="AC231" s="542"/>
      <c r="AD231" s="542"/>
      <c r="AE231" s="542"/>
      <c r="AF231" s="542"/>
      <c r="AG231" s="542"/>
      <c r="AH231" s="542"/>
      <c r="AI231" s="542"/>
      <c r="AJ231" s="542"/>
      <c r="AK231" s="542"/>
      <c r="AL231" s="542"/>
      <c r="AM231" s="542"/>
      <c r="AN231" s="542"/>
      <c r="AO231" s="542"/>
      <c r="AP231" s="542"/>
      <c r="AQ231" s="542"/>
      <c r="AR231" s="542"/>
      <c r="AS231" s="542"/>
      <c r="AT231" s="542"/>
      <c r="AU231" s="542"/>
      <c r="AV231" s="542"/>
      <c r="AW231" s="542"/>
      <c r="AX231" s="542"/>
      <c r="AY231" s="542"/>
      <c r="AZ231" s="542"/>
      <c r="BA231" s="542"/>
      <c r="BB231" s="542"/>
      <c r="BC231" s="543"/>
      <c r="BD231" s="301"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8" t="s">
        <v>1353</v>
      </c>
      <c r="EN231" s="274" t="s">
        <v>1354</v>
      </c>
      <c r="EO231" s="274">
        <v>0</v>
      </c>
      <c r="EP231" s="275">
        <v>80</v>
      </c>
      <c r="EQ231" s="275">
        <v>0</v>
      </c>
      <c r="ER231" s="815">
        <v>0</v>
      </c>
      <c r="ES231" s="276">
        <v>20</v>
      </c>
      <c r="ET231" s="824">
        <v>60</v>
      </c>
    </row>
    <row r="232" spans="1:150" ht="46.5" customHeight="1" x14ac:dyDescent="0.2">
      <c r="A232" s="277" t="s">
        <v>90</v>
      </c>
      <c r="B232" s="428" t="s">
        <v>91</v>
      </c>
      <c r="C232" s="429" t="s">
        <v>992</v>
      </c>
      <c r="D232" s="429"/>
      <c r="E232" s="8" t="s">
        <v>1343</v>
      </c>
      <c r="F232" s="281" t="str">
        <f t="shared" si="153"/>
        <v>E3.P_L</v>
      </c>
      <c r="G232" s="452" t="s">
        <v>379</v>
      </c>
      <c r="H232" s="452" t="s">
        <v>507</v>
      </c>
      <c r="I232" s="735"/>
      <c r="J232" s="281" t="s">
        <v>61</v>
      </c>
      <c r="K232" s="647" t="str">
        <f t="shared" si="154"/>
        <v>E3.P_L.MR1</v>
      </c>
      <c r="L232" s="408" t="s">
        <v>487</v>
      </c>
      <c r="M232" s="409" t="s">
        <v>1352</v>
      </c>
      <c r="N232" s="736" t="s">
        <v>1346</v>
      </c>
      <c r="O232" s="737" t="s">
        <v>1347</v>
      </c>
      <c r="P232" s="711" t="s">
        <v>99</v>
      </c>
      <c r="Q232" s="712" t="str">
        <f t="shared" si="155"/>
        <v>E3.P_L.MR1-MP03-1</v>
      </c>
      <c r="R232" s="627" t="s">
        <v>1357</v>
      </c>
      <c r="S232" s="528" t="s">
        <v>305</v>
      </c>
      <c r="T232" s="669">
        <v>1</v>
      </c>
      <c r="U232" s="670">
        <v>1</v>
      </c>
      <c r="V232" s="669" t="s">
        <v>102</v>
      </c>
      <c r="W232" s="533">
        <v>0</v>
      </c>
      <c r="X232" s="674">
        <v>1</v>
      </c>
      <c r="Y232" s="533">
        <v>0</v>
      </c>
      <c r="Z232" s="534">
        <v>0</v>
      </c>
      <c r="AA232" s="671"/>
      <c r="AB232" s="672"/>
      <c r="AC232" s="672"/>
      <c r="AD232" s="672"/>
      <c r="AE232" s="672"/>
      <c r="AF232" s="672"/>
      <c r="AG232" s="672"/>
      <c r="AH232" s="672"/>
      <c r="AI232" s="672"/>
      <c r="AJ232" s="672"/>
      <c r="AK232" s="672"/>
      <c r="AL232" s="672"/>
      <c r="AM232" s="672"/>
      <c r="AN232" s="672"/>
      <c r="AO232" s="672"/>
      <c r="AP232" s="672"/>
      <c r="AQ232" s="672"/>
      <c r="AR232" s="672"/>
      <c r="AS232" s="672"/>
      <c r="AT232" s="672"/>
      <c r="AU232" s="672"/>
      <c r="AV232" s="672"/>
      <c r="AW232" s="672"/>
      <c r="AX232" s="672"/>
      <c r="AY232" s="672"/>
      <c r="AZ232" s="672"/>
      <c r="BA232" s="672"/>
      <c r="BB232" s="672"/>
      <c r="BC232" s="673"/>
      <c r="BD232" s="301"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8" t="s">
        <v>1357</v>
      </c>
      <c r="EN232" s="274" t="s">
        <v>305</v>
      </c>
      <c r="EO232" s="385">
        <v>1</v>
      </c>
      <c r="EP232" s="385">
        <v>1</v>
      </c>
      <c r="EQ232" s="276">
        <v>0.5</v>
      </c>
      <c r="ER232" s="815">
        <v>0.2</v>
      </c>
      <c r="ES232" s="815">
        <v>0.2</v>
      </c>
      <c r="ET232" s="824">
        <v>0.1</v>
      </c>
    </row>
    <row r="233" spans="1:150" ht="39" customHeight="1" x14ac:dyDescent="0.2">
      <c r="A233" s="277" t="s">
        <v>90</v>
      </c>
      <c r="B233" s="428" t="s">
        <v>91</v>
      </c>
      <c r="C233" s="429" t="s">
        <v>992</v>
      </c>
      <c r="D233" s="429"/>
      <c r="E233" s="8" t="s">
        <v>1343</v>
      </c>
      <c r="F233" s="281" t="str">
        <f t="shared" si="153"/>
        <v>E3.P_L</v>
      </c>
      <c r="G233" s="452" t="s">
        <v>379</v>
      </c>
      <c r="H233" s="452" t="s">
        <v>507</v>
      </c>
      <c r="I233" s="735"/>
      <c r="J233" s="281" t="s">
        <v>61</v>
      </c>
      <c r="K233" s="647" t="str">
        <f t="shared" si="154"/>
        <v>E3.P_L.MR1</v>
      </c>
      <c r="L233" s="408" t="s">
        <v>487</v>
      </c>
      <c r="M233" s="409" t="s">
        <v>1352</v>
      </c>
      <c r="N233" s="736" t="s">
        <v>1346</v>
      </c>
      <c r="O233" s="737" t="s">
        <v>1347</v>
      </c>
      <c r="P233" s="712" t="s">
        <v>112</v>
      </c>
      <c r="Q233" s="712" t="str">
        <f t="shared" si="155"/>
        <v>E3.P_L.MR1-MP04-1</v>
      </c>
      <c r="R233" s="527" t="s">
        <v>1360</v>
      </c>
      <c r="S233" s="694" t="s">
        <v>1361</v>
      </c>
      <c r="T233" s="669">
        <v>0</v>
      </c>
      <c r="U233" s="670">
        <v>1</v>
      </c>
      <c r="V233" s="669" t="s">
        <v>67</v>
      </c>
      <c r="W233" s="533">
        <v>0</v>
      </c>
      <c r="X233" s="674">
        <v>1</v>
      </c>
      <c r="Y233" s="533">
        <v>0</v>
      </c>
      <c r="Z233" s="534">
        <v>0</v>
      </c>
      <c r="AA233" s="671"/>
      <c r="AB233" s="672"/>
      <c r="AC233" s="672"/>
      <c r="AD233" s="672"/>
      <c r="AE233" s="672"/>
      <c r="AF233" s="672"/>
      <c r="AG233" s="672"/>
      <c r="AH233" s="672"/>
      <c r="AI233" s="672"/>
      <c r="AJ233" s="672"/>
      <c r="AK233" s="672"/>
      <c r="AL233" s="672"/>
      <c r="AM233" s="672"/>
      <c r="AN233" s="672"/>
      <c r="AO233" s="672"/>
      <c r="AP233" s="672"/>
      <c r="AQ233" s="672"/>
      <c r="AR233" s="672"/>
      <c r="AS233" s="672"/>
      <c r="AT233" s="672"/>
      <c r="AU233" s="672"/>
      <c r="AV233" s="672"/>
      <c r="AW233" s="672"/>
      <c r="AX233" s="672"/>
      <c r="AY233" s="672"/>
      <c r="AZ233" s="672"/>
      <c r="BA233" s="672"/>
      <c r="BB233" s="672"/>
      <c r="BC233" s="673"/>
      <c r="BD233" s="301"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3" t="s">
        <v>1361</v>
      </c>
      <c r="EO233" s="385">
        <v>0</v>
      </c>
      <c r="EP233" s="385">
        <v>1</v>
      </c>
      <c r="EQ233" s="275">
        <v>0</v>
      </c>
      <c r="ER233" s="815">
        <v>0.4</v>
      </c>
      <c r="ES233" s="815">
        <v>0.6</v>
      </c>
      <c r="ET233" s="826">
        <v>0</v>
      </c>
    </row>
    <row r="234" spans="1:150" ht="39" customHeight="1" x14ac:dyDescent="0.2">
      <c r="A234" s="277" t="s">
        <v>90</v>
      </c>
      <c r="B234" s="428" t="s">
        <v>91</v>
      </c>
      <c r="C234" s="429" t="s">
        <v>992</v>
      </c>
      <c r="D234" s="429"/>
      <c r="E234" s="8" t="s">
        <v>1343</v>
      </c>
      <c r="F234" s="281" t="str">
        <f t="shared" si="153"/>
        <v>E3.P_L</v>
      </c>
      <c r="G234" s="452" t="s">
        <v>379</v>
      </c>
      <c r="H234" s="452" t="s">
        <v>507</v>
      </c>
      <c r="I234" s="735"/>
      <c r="J234" s="281" t="s">
        <v>61</v>
      </c>
      <c r="K234" s="647" t="str">
        <f t="shared" si="154"/>
        <v>E3.P_L.MR1</v>
      </c>
      <c r="L234" s="408" t="s">
        <v>487</v>
      </c>
      <c r="M234" s="409" t="s">
        <v>1352</v>
      </c>
      <c r="N234" s="736" t="s">
        <v>1346</v>
      </c>
      <c r="O234" s="737" t="s">
        <v>1347</v>
      </c>
      <c r="P234" s="712" t="s">
        <v>1364</v>
      </c>
      <c r="Q234" s="712" t="str">
        <f t="shared" si="155"/>
        <v>E3.P_L.MR1-MP04-2</v>
      </c>
      <c r="R234" s="527" t="s">
        <v>1360</v>
      </c>
      <c r="S234" s="694" t="s">
        <v>1365</v>
      </c>
      <c r="T234" s="669">
        <v>0</v>
      </c>
      <c r="U234" s="670">
        <v>1</v>
      </c>
      <c r="V234" s="669" t="s">
        <v>67</v>
      </c>
      <c r="W234" s="531">
        <v>0.1</v>
      </c>
      <c r="X234" s="532">
        <v>0.9</v>
      </c>
      <c r="Y234" s="533">
        <v>0</v>
      </c>
      <c r="Z234" s="534">
        <v>0</v>
      </c>
      <c r="AA234" s="671"/>
      <c r="AB234" s="672"/>
      <c r="AC234" s="672"/>
      <c r="AD234" s="672"/>
      <c r="AE234" s="672"/>
      <c r="AF234" s="672"/>
      <c r="AG234" s="672"/>
      <c r="AH234" s="672"/>
      <c r="AI234" s="672"/>
      <c r="AJ234" s="672"/>
      <c r="AK234" s="672"/>
      <c r="AL234" s="672"/>
      <c r="AM234" s="672"/>
      <c r="AN234" s="672"/>
      <c r="AO234" s="672"/>
      <c r="AP234" s="672"/>
      <c r="AQ234" s="672"/>
      <c r="AR234" s="672"/>
      <c r="AS234" s="672"/>
      <c r="AT234" s="672"/>
      <c r="AU234" s="672"/>
      <c r="AV234" s="672"/>
      <c r="AW234" s="672"/>
      <c r="AX234" s="672"/>
      <c r="AY234" s="672"/>
      <c r="AZ234" s="672"/>
      <c r="BA234" s="672"/>
      <c r="BB234" s="672"/>
      <c r="BC234" s="673"/>
      <c r="BD234" s="301"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3" t="s">
        <v>1365</v>
      </c>
      <c r="EO234" s="385">
        <v>0</v>
      </c>
      <c r="EP234" s="385">
        <v>1</v>
      </c>
      <c r="EQ234" s="276">
        <v>0.1</v>
      </c>
      <c r="ER234" s="276">
        <v>0.9</v>
      </c>
      <c r="ES234" s="275">
        <v>0</v>
      </c>
      <c r="ET234" s="826">
        <v>0</v>
      </c>
    </row>
    <row r="235" spans="1:150" ht="44.25" customHeight="1" x14ac:dyDescent="0.2">
      <c r="A235" s="277" t="s">
        <v>90</v>
      </c>
      <c r="B235" s="428" t="s">
        <v>91</v>
      </c>
      <c r="C235" s="429" t="s">
        <v>992</v>
      </c>
      <c r="D235" s="429"/>
      <c r="E235" s="8" t="s">
        <v>1343</v>
      </c>
      <c r="F235" s="281" t="str">
        <f t="shared" si="153"/>
        <v>E3.P_L</v>
      </c>
      <c r="G235" s="452" t="s">
        <v>379</v>
      </c>
      <c r="H235" s="452" t="s">
        <v>507</v>
      </c>
      <c r="I235" s="735"/>
      <c r="J235" s="281" t="s">
        <v>61</v>
      </c>
      <c r="K235" s="647" t="str">
        <f t="shared" si="154"/>
        <v>E3.P_L.MR1</v>
      </c>
      <c r="L235" s="408" t="s">
        <v>487</v>
      </c>
      <c r="M235" s="409" t="s">
        <v>1352</v>
      </c>
      <c r="N235" s="736" t="s">
        <v>1346</v>
      </c>
      <c r="O235" s="737" t="s">
        <v>1347</v>
      </c>
      <c r="P235" s="712" t="s">
        <v>1368</v>
      </c>
      <c r="Q235" s="712" t="str">
        <f t="shared" si="155"/>
        <v>E3.P_L.MR1-MP04-3</v>
      </c>
      <c r="R235" s="527" t="s">
        <v>1360</v>
      </c>
      <c r="S235" s="694" t="s">
        <v>1369</v>
      </c>
      <c r="T235" s="669">
        <v>0</v>
      </c>
      <c r="U235" s="670">
        <v>1</v>
      </c>
      <c r="V235" s="669" t="s">
        <v>67</v>
      </c>
      <c r="W235" s="533">
        <v>0</v>
      </c>
      <c r="X235" s="674">
        <v>1</v>
      </c>
      <c r="Y235" s="533">
        <v>0</v>
      </c>
      <c r="Z235" s="534">
        <v>0</v>
      </c>
      <c r="AA235" s="671"/>
      <c r="AB235" s="672"/>
      <c r="AC235" s="672"/>
      <c r="AD235" s="672"/>
      <c r="AE235" s="672"/>
      <c r="AF235" s="672"/>
      <c r="AG235" s="672"/>
      <c r="AH235" s="672"/>
      <c r="AI235" s="672"/>
      <c r="AJ235" s="672"/>
      <c r="AK235" s="672"/>
      <c r="AL235" s="672"/>
      <c r="AM235" s="672"/>
      <c r="AN235" s="672"/>
      <c r="AO235" s="672"/>
      <c r="AP235" s="672"/>
      <c r="AQ235" s="672"/>
      <c r="AR235" s="672"/>
      <c r="AS235" s="672"/>
      <c r="AT235" s="672"/>
      <c r="AU235" s="672"/>
      <c r="AV235" s="672"/>
      <c r="AW235" s="672"/>
      <c r="AX235" s="672"/>
      <c r="AY235" s="672"/>
      <c r="AZ235" s="672"/>
      <c r="BA235" s="672"/>
      <c r="BB235" s="672"/>
      <c r="BC235" s="673"/>
      <c r="BD235" s="301"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3" t="s">
        <v>1369</v>
      </c>
      <c r="EO235" s="385">
        <v>0</v>
      </c>
      <c r="EP235" s="385">
        <v>1</v>
      </c>
      <c r="EQ235" s="275">
        <v>0</v>
      </c>
      <c r="ER235" s="275">
        <v>1</v>
      </c>
      <c r="ES235" s="275">
        <v>0</v>
      </c>
      <c r="ET235" s="826">
        <v>0</v>
      </c>
    </row>
    <row r="236" spans="1:150" ht="42" customHeight="1" x14ac:dyDescent="0.2">
      <c r="A236" s="277" t="s">
        <v>90</v>
      </c>
      <c r="B236" s="428" t="s">
        <v>91</v>
      </c>
      <c r="C236" s="429" t="s">
        <v>992</v>
      </c>
      <c r="D236" s="429"/>
      <c r="E236" s="8" t="s">
        <v>1343</v>
      </c>
      <c r="F236" s="281" t="str">
        <f t="shared" si="153"/>
        <v>E3.P_L</v>
      </c>
      <c r="G236" s="452" t="s">
        <v>379</v>
      </c>
      <c r="H236" s="452" t="s">
        <v>507</v>
      </c>
      <c r="I236" s="735"/>
      <c r="J236" s="281" t="s">
        <v>61</v>
      </c>
      <c r="K236" s="647" t="str">
        <f t="shared" si="154"/>
        <v>E3.P_L.MR1</v>
      </c>
      <c r="L236" s="408" t="s">
        <v>487</v>
      </c>
      <c r="M236" s="409" t="s">
        <v>1352</v>
      </c>
      <c r="N236" s="736" t="s">
        <v>1346</v>
      </c>
      <c r="O236" s="737" t="s">
        <v>1347</v>
      </c>
      <c r="P236" s="712" t="s">
        <v>122</v>
      </c>
      <c r="Q236" s="712" t="str">
        <f t="shared" si="155"/>
        <v>E3.P_L.MR1-MP05-1</v>
      </c>
      <c r="R236" s="527" t="s">
        <v>1372</v>
      </c>
      <c r="S236" s="694" t="s">
        <v>1373</v>
      </c>
      <c r="T236" s="669">
        <v>0</v>
      </c>
      <c r="U236" s="738">
        <v>0.3</v>
      </c>
      <c r="V236" s="739" t="s">
        <v>67</v>
      </c>
      <c r="W236" s="533">
        <v>0</v>
      </c>
      <c r="X236" s="674">
        <v>1</v>
      </c>
      <c r="Y236" s="533">
        <v>1</v>
      </c>
      <c r="Z236" s="534">
        <v>1</v>
      </c>
      <c r="AA236" s="740"/>
      <c r="AB236" s="741"/>
      <c r="AC236" s="741"/>
      <c r="AD236" s="741"/>
      <c r="AE236" s="741"/>
      <c r="AF236" s="741"/>
      <c r="AG236" s="741"/>
      <c r="AH236" s="741"/>
      <c r="AI236" s="741"/>
      <c r="AJ236" s="741"/>
      <c r="AK236" s="741"/>
      <c r="AL236" s="741"/>
      <c r="AM236" s="741"/>
      <c r="AN236" s="741"/>
      <c r="AO236" s="741"/>
      <c r="AP236" s="741"/>
      <c r="AQ236" s="741"/>
      <c r="AR236" s="741"/>
      <c r="AS236" s="741"/>
      <c r="AT236" s="741"/>
      <c r="AU236" s="741"/>
      <c r="AV236" s="741"/>
      <c r="AW236" s="741"/>
      <c r="AX236" s="741"/>
      <c r="AY236" s="741"/>
      <c r="AZ236" s="741"/>
      <c r="BA236" s="741"/>
      <c r="BB236" s="741"/>
      <c r="BC236" s="742"/>
      <c r="BD236" s="301"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3" t="s">
        <v>1373</v>
      </c>
      <c r="EO236" s="385">
        <v>0</v>
      </c>
      <c r="EP236" s="808">
        <v>0.3</v>
      </c>
      <c r="EQ236" s="809">
        <v>0.05</v>
      </c>
      <c r="ER236" s="809">
        <v>0.05</v>
      </c>
      <c r="ES236" s="805">
        <v>0.1</v>
      </c>
      <c r="ET236" s="831">
        <v>0.1</v>
      </c>
    </row>
    <row r="237" spans="1:150" ht="41.25" customHeight="1" x14ac:dyDescent="0.2">
      <c r="A237" s="277" t="s">
        <v>90</v>
      </c>
      <c r="B237" s="428" t="s">
        <v>91</v>
      </c>
      <c r="C237" s="429" t="s">
        <v>992</v>
      </c>
      <c r="D237" s="429"/>
      <c r="E237" s="8" t="s">
        <v>1343</v>
      </c>
      <c r="F237" s="281" t="str">
        <f t="shared" si="153"/>
        <v>E3.P_L</v>
      </c>
      <c r="G237" s="452" t="s">
        <v>379</v>
      </c>
      <c r="H237" s="452" t="s">
        <v>507</v>
      </c>
      <c r="I237" s="735"/>
      <c r="J237" s="281" t="s">
        <v>61</v>
      </c>
      <c r="K237" s="647" t="str">
        <f t="shared" si="154"/>
        <v>E3.P_L.MR1</v>
      </c>
      <c r="L237" s="408" t="s">
        <v>487</v>
      </c>
      <c r="M237" s="409" t="s">
        <v>1352</v>
      </c>
      <c r="N237" s="736" t="s">
        <v>1346</v>
      </c>
      <c r="O237" s="737" t="s">
        <v>1347</v>
      </c>
      <c r="P237" s="712" t="s">
        <v>132</v>
      </c>
      <c r="Q237" s="712" t="str">
        <f t="shared" si="155"/>
        <v>E3.P_L.MR1-MP06-1</v>
      </c>
      <c r="R237" s="527" t="s">
        <v>1376</v>
      </c>
      <c r="S237" s="694" t="s">
        <v>1377</v>
      </c>
      <c r="T237" s="669">
        <v>0</v>
      </c>
      <c r="U237" s="670">
        <v>1</v>
      </c>
      <c r="V237" s="669" t="s">
        <v>67</v>
      </c>
      <c r="W237" s="531">
        <v>0.3</v>
      </c>
      <c r="X237" s="532">
        <v>0.7</v>
      </c>
      <c r="Y237" s="533">
        <v>0</v>
      </c>
      <c r="Z237" s="534">
        <v>0</v>
      </c>
      <c r="AA237" s="671"/>
      <c r="AB237" s="672"/>
      <c r="AC237" s="672"/>
      <c r="AD237" s="672"/>
      <c r="AE237" s="672"/>
      <c r="AF237" s="672"/>
      <c r="AG237" s="672"/>
      <c r="AH237" s="672"/>
      <c r="AI237" s="672"/>
      <c r="AJ237" s="672"/>
      <c r="AK237" s="672"/>
      <c r="AL237" s="672"/>
      <c r="AM237" s="672"/>
      <c r="AN237" s="672"/>
      <c r="AO237" s="672"/>
      <c r="AP237" s="672"/>
      <c r="AQ237" s="672"/>
      <c r="AR237" s="672"/>
      <c r="AS237" s="672"/>
      <c r="AT237" s="672"/>
      <c r="AU237" s="672"/>
      <c r="AV237" s="672"/>
      <c r="AW237" s="672"/>
      <c r="AX237" s="672"/>
      <c r="AY237" s="672"/>
      <c r="AZ237" s="672"/>
      <c r="BA237" s="672"/>
      <c r="BB237" s="672"/>
      <c r="BC237" s="673"/>
      <c r="BD237" s="301"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3" t="s">
        <v>1377</v>
      </c>
      <c r="EO237" s="385">
        <v>0</v>
      </c>
      <c r="EP237" s="385">
        <v>1</v>
      </c>
      <c r="EQ237" s="276">
        <v>0.3</v>
      </c>
      <c r="ER237" s="815">
        <v>0</v>
      </c>
      <c r="ES237" s="815">
        <v>0.3</v>
      </c>
      <c r="ET237" s="824">
        <v>0.4</v>
      </c>
    </row>
    <row r="238" spans="1:150" ht="39" customHeight="1" x14ac:dyDescent="0.2">
      <c r="A238" s="277" t="s">
        <v>90</v>
      </c>
      <c r="B238" s="428" t="s">
        <v>91</v>
      </c>
      <c r="C238" s="429" t="s">
        <v>992</v>
      </c>
      <c r="D238" s="429"/>
      <c r="E238" s="8" t="s">
        <v>1343</v>
      </c>
      <c r="F238" s="281" t="str">
        <f t="shared" si="153"/>
        <v>E3.P_L</v>
      </c>
      <c r="G238" s="452" t="s">
        <v>379</v>
      </c>
      <c r="H238" s="452" t="s">
        <v>507</v>
      </c>
      <c r="I238" s="735"/>
      <c r="J238" s="281" t="s">
        <v>61</v>
      </c>
      <c r="K238" s="647" t="str">
        <f t="shared" si="154"/>
        <v>E3.P_L.MR1</v>
      </c>
      <c r="L238" s="408" t="s">
        <v>487</v>
      </c>
      <c r="M238" s="409" t="s">
        <v>1352</v>
      </c>
      <c r="N238" s="736" t="s">
        <v>1346</v>
      </c>
      <c r="O238" s="737" t="s">
        <v>1347</v>
      </c>
      <c r="P238" s="712" t="s">
        <v>1380</v>
      </c>
      <c r="Q238" s="712" t="str">
        <f t="shared" si="155"/>
        <v>E3.P_L.MR1-MP06-2</v>
      </c>
      <c r="R238" s="527" t="s">
        <v>1376</v>
      </c>
      <c r="S238" s="694" t="s">
        <v>1381</v>
      </c>
      <c r="T238" s="669">
        <v>0</v>
      </c>
      <c r="U238" s="670">
        <v>1</v>
      </c>
      <c r="V238" s="669" t="s">
        <v>67</v>
      </c>
      <c r="W238" s="533">
        <v>0</v>
      </c>
      <c r="X238" s="674">
        <v>1</v>
      </c>
      <c r="Y238" s="533">
        <v>0</v>
      </c>
      <c r="Z238" s="534">
        <v>0</v>
      </c>
      <c r="AA238" s="671"/>
      <c r="AB238" s="672"/>
      <c r="AC238" s="672"/>
      <c r="AD238" s="672"/>
      <c r="AE238" s="672"/>
      <c r="AF238" s="672"/>
      <c r="AG238" s="672"/>
      <c r="AH238" s="672"/>
      <c r="AI238" s="672"/>
      <c r="AJ238" s="672"/>
      <c r="AK238" s="672"/>
      <c r="AL238" s="672"/>
      <c r="AM238" s="672"/>
      <c r="AN238" s="672"/>
      <c r="AO238" s="672"/>
      <c r="AP238" s="672"/>
      <c r="AQ238" s="672"/>
      <c r="AR238" s="672"/>
      <c r="AS238" s="672"/>
      <c r="AT238" s="672"/>
      <c r="AU238" s="672"/>
      <c r="AV238" s="672"/>
      <c r="AW238" s="672"/>
      <c r="AX238" s="672"/>
      <c r="AY238" s="672"/>
      <c r="AZ238" s="672"/>
      <c r="BA238" s="672"/>
      <c r="BB238" s="672"/>
      <c r="BC238" s="673"/>
      <c r="BD238" s="301"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3" t="s">
        <v>1381</v>
      </c>
      <c r="EO238" s="385">
        <v>0</v>
      </c>
      <c r="EP238" s="385">
        <v>1</v>
      </c>
      <c r="EQ238" s="275">
        <v>0</v>
      </c>
      <c r="ER238" s="814">
        <v>0</v>
      </c>
      <c r="ES238" s="275">
        <v>0</v>
      </c>
      <c r="ET238" s="830">
        <v>1</v>
      </c>
    </row>
    <row r="239" spans="1:150" ht="37.5" customHeight="1" thickBot="1" x14ac:dyDescent="0.25">
      <c r="A239" s="277" t="s">
        <v>90</v>
      </c>
      <c r="B239" s="428" t="s">
        <v>91</v>
      </c>
      <c r="C239" s="429" t="s">
        <v>992</v>
      </c>
      <c r="D239" s="429"/>
      <c r="E239" s="8" t="s">
        <v>1343</v>
      </c>
      <c r="F239" s="281" t="str">
        <f t="shared" si="153"/>
        <v>E3.P_L</v>
      </c>
      <c r="G239" s="452" t="s">
        <v>379</v>
      </c>
      <c r="H239" s="452" t="s">
        <v>507</v>
      </c>
      <c r="I239" s="743"/>
      <c r="J239" s="598" t="s">
        <v>61</v>
      </c>
      <c r="K239" s="744" t="str">
        <f t="shared" si="154"/>
        <v>E3.P_L.MR1</v>
      </c>
      <c r="L239" s="424" t="s">
        <v>487</v>
      </c>
      <c r="M239" s="425" t="s">
        <v>1352</v>
      </c>
      <c r="N239" s="745" t="s">
        <v>1346</v>
      </c>
      <c r="O239" s="746" t="s">
        <v>1347</v>
      </c>
      <c r="P239" s="714" t="s">
        <v>142</v>
      </c>
      <c r="Q239" s="714" t="str">
        <f t="shared" si="155"/>
        <v>E3.P_L.MR1-MP07-1</v>
      </c>
      <c r="R239" s="628" t="s">
        <v>1384</v>
      </c>
      <c r="S239" s="551" t="s">
        <v>1385</v>
      </c>
      <c r="T239" s="747">
        <v>1</v>
      </c>
      <c r="U239" s="677">
        <v>4</v>
      </c>
      <c r="V239" s="676" t="s">
        <v>67</v>
      </c>
      <c r="W239" s="554">
        <v>1</v>
      </c>
      <c r="X239" s="555">
        <v>1</v>
      </c>
      <c r="Y239" s="554">
        <v>1</v>
      </c>
      <c r="Z239" s="556">
        <v>1</v>
      </c>
      <c r="AA239" s="671"/>
      <c r="AB239" s="672"/>
      <c r="AC239" s="672"/>
      <c r="AD239" s="672"/>
      <c r="AE239" s="672"/>
      <c r="AF239" s="672"/>
      <c r="AG239" s="672"/>
      <c r="AH239" s="672"/>
      <c r="AI239" s="672"/>
      <c r="AJ239" s="672"/>
      <c r="AK239" s="672"/>
      <c r="AL239" s="672"/>
      <c r="AM239" s="672"/>
      <c r="AN239" s="672"/>
      <c r="AO239" s="672"/>
      <c r="AP239" s="672"/>
      <c r="AQ239" s="672"/>
      <c r="AR239" s="672"/>
      <c r="AS239" s="672"/>
      <c r="AT239" s="672"/>
      <c r="AU239" s="672"/>
      <c r="AV239" s="672"/>
      <c r="AW239" s="672"/>
      <c r="AX239" s="672"/>
      <c r="AY239" s="672"/>
      <c r="AZ239" s="672"/>
      <c r="BA239" s="672"/>
      <c r="BB239" s="672"/>
      <c r="BC239" s="673"/>
      <c r="BD239" s="301"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8" t="s">
        <v>1384</v>
      </c>
      <c r="EN239" s="274" t="s">
        <v>1385</v>
      </c>
      <c r="EO239" s="385">
        <v>1</v>
      </c>
      <c r="EP239" s="837">
        <v>4</v>
      </c>
      <c r="EQ239" s="275">
        <v>1</v>
      </c>
      <c r="ER239" s="275">
        <v>1</v>
      </c>
      <c r="ES239" s="275">
        <v>1</v>
      </c>
      <c r="ET239" s="826">
        <v>1</v>
      </c>
    </row>
    <row r="240" spans="1:150" ht="114.75" customHeight="1" x14ac:dyDescent="0.2">
      <c r="A240" s="277" t="s">
        <v>90</v>
      </c>
      <c r="B240" s="428" t="s">
        <v>91</v>
      </c>
      <c r="C240" s="429" t="s">
        <v>992</v>
      </c>
      <c r="D240" s="429"/>
      <c r="E240" s="8" t="s">
        <v>1343</v>
      </c>
      <c r="F240" s="281" t="str">
        <f t="shared" si="153"/>
        <v>E3.P_L</v>
      </c>
      <c r="G240" s="452" t="s">
        <v>379</v>
      </c>
      <c r="H240" s="452" t="s">
        <v>507</v>
      </c>
      <c r="I240" s="453" t="s">
        <v>1388</v>
      </c>
      <c r="J240" s="454" t="s">
        <v>167</v>
      </c>
      <c r="K240" s="455" t="str">
        <f t="shared" si="154"/>
        <v>E3.P_L.MR2</v>
      </c>
      <c r="L240" s="360" t="s">
        <v>495</v>
      </c>
      <c r="M240" s="361" t="s">
        <v>1352</v>
      </c>
      <c r="N240" s="247" t="s">
        <v>1389</v>
      </c>
      <c r="O240" s="247" t="s">
        <v>1390</v>
      </c>
      <c r="P240" s="365" t="s">
        <v>64</v>
      </c>
      <c r="Q240" s="365" t="str">
        <f t="shared" si="155"/>
        <v>E3.P_L.MR2-MP01-1</v>
      </c>
      <c r="R240" s="416" t="s">
        <v>1391</v>
      </c>
      <c r="S240" s="367" t="s">
        <v>1392</v>
      </c>
      <c r="T240" s="368">
        <v>0</v>
      </c>
      <c r="U240" s="617">
        <v>5</v>
      </c>
      <c r="V240" s="616" t="s">
        <v>67</v>
      </c>
      <c r="W240" s="484">
        <v>0</v>
      </c>
      <c r="X240" s="485">
        <v>4</v>
      </c>
      <c r="Y240" s="484">
        <v>1</v>
      </c>
      <c r="Z240" s="486">
        <v>0</v>
      </c>
      <c r="AA240" s="298"/>
      <c r="AB240" s="299"/>
      <c r="AC240" s="299"/>
      <c r="AD240" s="299"/>
      <c r="AE240" s="299"/>
      <c r="AF240" s="299"/>
      <c r="AG240" s="299"/>
      <c r="AH240" s="299"/>
      <c r="AI240" s="299"/>
      <c r="AJ240" s="299"/>
      <c r="AK240" s="299"/>
      <c r="AL240" s="299"/>
      <c r="AM240" s="299"/>
      <c r="AN240" s="299"/>
      <c r="AO240" s="299"/>
      <c r="AP240" s="299"/>
      <c r="AQ240" s="299"/>
      <c r="AR240" s="299"/>
      <c r="AS240" s="299"/>
      <c r="AT240" s="299"/>
      <c r="AU240" s="299"/>
      <c r="AV240" s="299"/>
      <c r="AW240" s="299"/>
      <c r="AX240" s="299"/>
      <c r="AY240" s="299"/>
      <c r="AZ240" s="299"/>
      <c r="BA240" s="299"/>
      <c r="BB240" s="299"/>
      <c r="BC240" s="300"/>
      <c r="BD240" s="301"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8" t="s">
        <v>1391</v>
      </c>
      <c r="EN240" s="274" t="s">
        <v>1392</v>
      </c>
      <c r="EO240" s="274">
        <v>0</v>
      </c>
      <c r="EP240" s="274">
        <v>5</v>
      </c>
      <c r="EQ240" s="275">
        <v>1</v>
      </c>
      <c r="ER240" s="814">
        <v>3</v>
      </c>
      <c r="ES240" s="815">
        <v>0.9</v>
      </c>
      <c r="ET240" s="824">
        <v>0.1</v>
      </c>
    </row>
    <row r="241" spans="1:152" ht="51" customHeight="1" x14ac:dyDescent="0.2">
      <c r="A241" s="277" t="s">
        <v>90</v>
      </c>
      <c r="B241" s="428" t="s">
        <v>91</v>
      </c>
      <c r="C241" s="429" t="s">
        <v>992</v>
      </c>
      <c r="D241" s="429"/>
      <c r="E241" s="8" t="s">
        <v>1343</v>
      </c>
      <c r="F241" s="281" t="str">
        <f t="shared" si="153"/>
        <v>E3.P_L</v>
      </c>
      <c r="G241" s="452" t="s">
        <v>379</v>
      </c>
      <c r="H241" s="452" t="s">
        <v>507</v>
      </c>
      <c r="I241" s="456"/>
      <c r="J241" s="457" t="s">
        <v>167</v>
      </c>
      <c r="K241" s="373" t="str">
        <f t="shared" si="154"/>
        <v>E3.P_L.MR2</v>
      </c>
      <c r="L241" s="408" t="s">
        <v>495</v>
      </c>
      <c r="M241" s="409" t="s">
        <v>1352</v>
      </c>
      <c r="N241" s="288" t="s">
        <v>1389</v>
      </c>
      <c r="O241" s="288" t="s">
        <v>1390</v>
      </c>
      <c r="P241" s="377" t="s">
        <v>87</v>
      </c>
      <c r="Q241" s="377" t="str">
        <f t="shared" si="155"/>
        <v>E3.P_L.MR2-MP02-1</v>
      </c>
      <c r="R241" s="717" t="s">
        <v>1395</v>
      </c>
      <c r="S241" s="292" t="s">
        <v>1396</v>
      </c>
      <c r="T241" s="293">
        <v>0</v>
      </c>
      <c r="U241" s="294">
        <v>1</v>
      </c>
      <c r="V241" s="293" t="s">
        <v>67</v>
      </c>
      <c r="W241" s="295">
        <v>0</v>
      </c>
      <c r="X241" s="296">
        <v>0</v>
      </c>
      <c r="Y241" s="295">
        <v>1</v>
      </c>
      <c r="Z241" s="297">
        <v>0</v>
      </c>
      <c r="AA241" s="298"/>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300"/>
      <c r="BD241" s="301"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3" t="s">
        <v>1396</v>
      </c>
      <c r="EO241" s="274">
        <v>0</v>
      </c>
      <c r="EP241" s="274">
        <v>1</v>
      </c>
      <c r="EQ241" s="275">
        <v>0</v>
      </c>
      <c r="ER241" s="815">
        <v>0.5</v>
      </c>
      <c r="ES241" s="815">
        <v>0.5</v>
      </c>
      <c r="ET241" s="826">
        <v>0</v>
      </c>
    </row>
    <row r="242" spans="1:152" ht="51" customHeight="1" x14ac:dyDescent="0.2">
      <c r="A242" s="277" t="s">
        <v>90</v>
      </c>
      <c r="B242" s="428" t="s">
        <v>91</v>
      </c>
      <c r="C242" s="429" t="s">
        <v>992</v>
      </c>
      <c r="D242" s="429"/>
      <c r="E242" s="8" t="s">
        <v>1343</v>
      </c>
      <c r="F242" s="281" t="str">
        <f t="shared" si="153"/>
        <v>E3.P_L</v>
      </c>
      <c r="G242" s="452" t="s">
        <v>379</v>
      </c>
      <c r="H242" s="452" t="s">
        <v>507</v>
      </c>
      <c r="I242" s="456"/>
      <c r="J242" s="457" t="s">
        <v>167</v>
      </c>
      <c r="K242" s="373" t="str">
        <f t="shared" si="154"/>
        <v>E3.P_L.MR2</v>
      </c>
      <c r="L242" s="408" t="s">
        <v>495</v>
      </c>
      <c r="M242" s="409" t="s">
        <v>1352</v>
      </c>
      <c r="N242" s="288" t="s">
        <v>1389</v>
      </c>
      <c r="O242" s="288" t="s">
        <v>1390</v>
      </c>
      <c r="P242" s="377" t="s">
        <v>1271</v>
      </c>
      <c r="Q242" s="377" t="str">
        <f t="shared" si="155"/>
        <v>E3.P_L.MR2-MP02-2</v>
      </c>
      <c r="R242" s="717" t="s">
        <v>1395</v>
      </c>
      <c r="S242" s="292" t="s">
        <v>1399</v>
      </c>
      <c r="T242" s="293">
        <v>5</v>
      </c>
      <c r="U242" s="294">
        <v>1</v>
      </c>
      <c r="V242" s="293" t="s">
        <v>67</v>
      </c>
      <c r="W242" s="295">
        <v>0</v>
      </c>
      <c r="X242" s="330">
        <v>0.7</v>
      </c>
      <c r="Y242" s="315">
        <v>0.3</v>
      </c>
      <c r="Z242" s="297">
        <v>0</v>
      </c>
      <c r="AA242" s="298"/>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300"/>
      <c r="BD242" s="301"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07" t="s">
        <v>1399</v>
      </c>
      <c r="EO242" s="807">
        <v>5</v>
      </c>
      <c r="EP242" s="807">
        <v>1</v>
      </c>
      <c r="EQ242" s="806">
        <v>0</v>
      </c>
      <c r="ER242" s="815">
        <v>0.2</v>
      </c>
      <c r="ES242" s="815">
        <v>0.8</v>
      </c>
      <c r="ET242" s="836">
        <v>0</v>
      </c>
    </row>
    <row r="243" spans="1:152" ht="42.75" customHeight="1" x14ac:dyDescent="0.2">
      <c r="A243" s="277" t="s">
        <v>90</v>
      </c>
      <c r="B243" s="428" t="s">
        <v>91</v>
      </c>
      <c r="C243" s="429" t="s">
        <v>992</v>
      </c>
      <c r="D243" s="429"/>
      <c r="E243" s="8" t="s">
        <v>1343</v>
      </c>
      <c r="F243" s="281" t="str">
        <f t="shared" si="153"/>
        <v>E3.P_L</v>
      </c>
      <c r="G243" s="452" t="s">
        <v>379</v>
      </c>
      <c r="H243" s="452" t="s">
        <v>507</v>
      </c>
      <c r="I243" s="456"/>
      <c r="J243" s="457" t="s">
        <v>167</v>
      </c>
      <c r="K243" s="373" t="str">
        <f t="shared" si="154"/>
        <v>E3.P_L.MR2</v>
      </c>
      <c r="L243" s="408" t="s">
        <v>495</v>
      </c>
      <c r="M243" s="409" t="s">
        <v>1352</v>
      </c>
      <c r="N243" s="288" t="s">
        <v>1389</v>
      </c>
      <c r="O243" s="288" t="s">
        <v>1390</v>
      </c>
      <c r="P243" s="377" t="s">
        <v>99</v>
      </c>
      <c r="Q243" s="377" t="str">
        <f t="shared" si="155"/>
        <v>E3.P_L.MR2-MP03-1</v>
      </c>
      <c r="R243" s="420" t="s">
        <v>1402</v>
      </c>
      <c r="S243" s="314" t="s">
        <v>1403</v>
      </c>
      <c r="T243" s="685">
        <v>0.01</v>
      </c>
      <c r="U243" s="748">
        <v>0.5</v>
      </c>
      <c r="V243" s="650" t="s">
        <v>67</v>
      </c>
      <c r="W243" s="295">
        <v>0</v>
      </c>
      <c r="X243" s="330">
        <v>0.2</v>
      </c>
      <c r="Y243" s="315">
        <v>0.2</v>
      </c>
      <c r="Z243" s="316">
        <v>0.1</v>
      </c>
      <c r="AA243" s="749"/>
      <c r="AB243" s="750"/>
      <c r="AC243" s="750"/>
      <c r="AD243" s="750"/>
      <c r="AE243" s="750"/>
      <c r="AF243" s="750"/>
      <c r="AG243" s="750"/>
      <c r="AH243" s="750"/>
      <c r="AI243" s="750"/>
      <c r="AJ243" s="750"/>
      <c r="AK243" s="750"/>
      <c r="AL243" s="750"/>
      <c r="AM243" s="750"/>
      <c r="AN243" s="750"/>
      <c r="AO243" s="750"/>
      <c r="AP243" s="750"/>
      <c r="AQ243" s="750"/>
      <c r="AR243" s="750"/>
      <c r="AS243" s="750"/>
      <c r="AT243" s="750"/>
      <c r="AU243" s="750"/>
      <c r="AV243" s="750"/>
      <c r="AW243" s="750"/>
      <c r="AX243" s="750"/>
      <c r="AY243" s="750"/>
      <c r="AZ243" s="750"/>
      <c r="BA243" s="750"/>
      <c r="BB243" s="750"/>
      <c r="BC243" s="751"/>
      <c r="BD243" s="301"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8" t="s">
        <v>1402</v>
      </c>
      <c r="EN243" s="274" t="s">
        <v>1403</v>
      </c>
      <c r="EO243" s="686">
        <v>0.01</v>
      </c>
      <c r="EP243" s="651">
        <v>0.5</v>
      </c>
      <c r="EQ243" s="275">
        <v>0</v>
      </c>
      <c r="ER243" s="276">
        <v>0.2</v>
      </c>
      <c r="ES243" s="276">
        <v>0.2</v>
      </c>
      <c r="ET243" s="829">
        <v>0.1</v>
      </c>
      <c r="EV243" s="752"/>
    </row>
    <row r="244" spans="1:152" ht="40.5" customHeight="1" x14ac:dyDescent="0.2">
      <c r="A244" s="277" t="s">
        <v>90</v>
      </c>
      <c r="B244" s="428" t="s">
        <v>91</v>
      </c>
      <c r="C244" s="429" t="s">
        <v>992</v>
      </c>
      <c r="D244" s="429"/>
      <c r="E244" s="8" t="s">
        <v>1343</v>
      </c>
      <c r="F244" s="281" t="str">
        <f t="shared" si="153"/>
        <v>E3.P_L</v>
      </c>
      <c r="G244" s="452" t="s">
        <v>379</v>
      </c>
      <c r="H244" s="452" t="s">
        <v>507</v>
      </c>
      <c r="I244" s="456"/>
      <c r="J244" s="457" t="s">
        <v>167</v>
      </c>
      <c r="K244" s="373" t="str">
        <f t="shared" si="154"/>
        <v>E3.P_L.MR2</v>
      </c>
      <c r="L244" s="408" t="s">
        <v>495</v>
      </c>
      <c r="M244" s="409" t="s">
        <v>1352</v>
      </c>
      <c r="N244" s="288" t="s">
        <v>1389</v>
      </c>
      <c r="O244" s="288" t="s">
        <v>1390</v>
      </c>
      <c r="P244" s="377" t="s">
        <v>112</v>
      </c>
      <c r="Q244" s="377" t="str">
        <f t="shared" si="155"/>
        <v>E3.P_L.MR2-MP04-1</v>
      </c>
      <c r="R244" s="717" t="s">
        <v>1406</v>
      </c>
      <c r="S244" s="292" t="s">
        <v>1377</v>
      </c>
      <c r="T244" s="380">
        <v>0</v>
      </c>
      <c r="U244" s="381">
        <v>1</v>
      </c>
      <c r="V244" s="380" t="s">
        <v>67</v>
      </c>
      <c r="W244" s="295">
        <v>0</v>
      </c>
      <c r="X244" s="296">
        <v>1</v>
      </c>
      <c r="Y244" s="295">
        <v>0</v>
      </c>
      <c r="Z244" s="297">
        <v>0</v>
      </c>
      <c r="AA244" s="382"/>
      <c r="AB244" s="383"/>
      <c r="AC244" s="383"/>
      <c r="AD244" s="383"/>
      <c r="AE244" s="383"/>
      <c r="AF244" s="383"/>
      <c r="AG244" s="383"/>
      <c r="AH244" s="383"/>
      <c r="AI244" s="383"/>
      <c r="AJ244" s="383"/>
      <c r="AK244" s="383"/>
      <c r="AL244" s="383"/>
      <c r="AM244" s="383"/>
      <c r="AN244" s="383"/>
      <c r="AO244" s="383"/>
      <c r="AP244" s="383"/>
      <c r="AQ244" s="383"/>
      <c r="AR244" s="383"/>
      <c r="AS244" s="383"/>
      <c r="AT244" s="383"/>
      <c r="AU244" s="383"/>
      <c r="AV244" s="383"/>
      <c r="AW244" s="383"/>
      <c r="AX244" s="383"/>
      <c r="AY244" s="383"/>
      <c r="AZ244" s="383"/>
      <c r="BA244" s="383"/>
      <c r="BB244" s="383"/>
      <c r="BC244" s="384"/>
      <c r="BD244" s="301"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3" t="s">
        <v>1377</v>
      </c>
      <c r="EO244" s="385">
        <v>0</v>
      </c>
      <c r="EP244" s="385">
        <v>1</v>
      </c>
      <c r="EQ244" s="276">
        <v>0.3</v>
      </c>
      <c r="ER244" s="815">
        <v>0.1</v>
      </c>
      <c r="ES244" s="815">
        <v>0.6</v>
      </c>
      <c r="ET244" s="826">
        <v>0</v>
      </c>
    </row>
    <row r="245" spans="1:152" ht="39" customHeight="1" x14ac:dyDescent="0.2">
      <c r="A245" s="277" t="s">
        <v>90</v>
      </c>
      <c r="B245" s="428" t="s">
        <v>91</v>
      </c>
      <c r="C245" s="429" t="s">
        <v>992</v>
      </c>
      <c r="D245" s="429"/>
      <c r="E245" s="8" t="s">
        <v>1343</v>
      </c>
      <c r="F245" s="281" t="str">
        <f t="shared" si="153"/>
        <v>E3.P_L</v>
      </c>
      <c r="G245" s="452" t="s">
        <v>379</v>
      </c>
      <c r="H245" s="452" t="s">
        <v>507</v>
      </c>
      <c r="I245" s="456"/>
      <c r="J245" s="457" t="s">
        <v>167</v>
      </c>
      <c r="K245" s="373" t="str">
        <f t="shared" si="154"/>
        <v>E3.P_L.MR2</v>
      </c>
      <c r="L245" s="408" t="s">
        <v>495</v>
      </c>
      <c r="M245" s="409" t="s">
        <v>1352</v>
      </c>
      <c r="N245" s="288" t="s">
        <v>1389</v>
      </c>
      <c r="O245" s="288" t="s">
        <v>1390</v>
      </c>
      <c r="P245" s="377" t="s">
        <v>1364</v>
      </c>
      <c r="Q245" s="377" t="str">
        <f t="shared" si="155"/>
        <v>E3.P_L.MR2-MP04-2</v>
      </c>
      <c r="R245" s="717" t="s">
        <v>1406</v>
      </c>
      <c r="S245" s="292" t="s">
        <v>1381</v>
      </c>
      <c r="T245" s="380">
        <v>0</v>
      </c>
      <c r="U245" s="381">
        <v>1</v>
      </c>
      <c r="V245" s="380" t="s">
        <v>67</v>
      </c>
      <c r="W245" s="295">
        <v>0</v>
      </c>
      <c r="X245" s="296">
        <v>1</v>
      </c>
      <c r="Y245" s="295">
        <v>0</v>
      </c>
      <c r="Z245" s="297">
        <v>0</v>
      </c>
      <c r="AA245" s="382"/>
      <c r="AB245" s="383"/>
      <c r="AC245" s="383"/>
      <c r="AD245" s="383"/>
      <c r="AE245" s="383"/>
      <c r="AF245" s="383"/>
      <c r="AG245" s="383"/>
      <c r="AH245" s="383"/>
      <c r="AI245" s="383"/>
      <c r="AJ245" s="383"/>
      <c r="AK245" s="383"/>
      <c r="AL245" s="383"/>
      <c r="AM245" s="383"/>
      <c r="AN245" s="383"/>
      <c r="AO245" s="383"/>
      <c r="AP245" s="383"/>
      <c r="AQ245" s="383"/>
      <c r="AR245" s="383"/>
      <c r="AS245" s="383"/>
      <c r="AT245" s="383"/>
      <c r="AU245" s="383"/>
      <c r="AV245" s="383"/>
      <c r="AW245" s="383"/>
      <c r="AX245" s="383"/>
      <c r="AY245" s="383"/>
      <c r="AZ245" s="383"/>
      <c r="BA245" s="383"/>
      <c r="BB245" s="383"/>
      <c r="BC245" s="384"/>
      <c r="BD245" s="301"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3" t="s">
        <v>1381</v>
      </c>
      <c r="EO245" s="385">
        <v>0</v>
      </c>
      <c r="EP245" s="385">
        <v>1</v>
      </c>
      <c r="EQ245" s="276">
        <v>0.1</v>
      </c>
      <c r="ER245" s="815">
        <v>0</v>
      </c>
      <c r="ES245" s="815">
        <v>0.2</v>
      </c>
      <c r="ET245" s="824">
        <v>0.7</v>
      </c>
    </row>
    <row r="246" spans="1:152" ht="42.75" customHeight="1" x14ac:dyDescent="0.2">
      <c r="A246" s="277" t="s">
        <v>90</v>
      </c>
      <c r="B246" s="428" t="s">
        <v>91</v>
      </c>
      <c r="C246" s="429" t="s">
        <v>992</v>
      </c>
      <c r="D246" s="429"/>
      <c r="E246" s="8" t="s">
        <v>1343</v>
      </c>
      <c r="F246" s="281" t="str">
        <f t="shared" si="153"/>
        <v>E3.P_L</v>
      </c>
      <c r="G246" s="452" t="s">
        <v>379</v>
      </c>
      <c r="H246" s="452" t="s">
        <v>507</v>
      </c>
      <c r="I246" s="456"/>
      <c r="J246" s="457" t="s">
        <v>167</v>
      </c>
      <c r="K246" s="373" t="str">
        <f t="shared" si="154"/>
        <v>E3.P_L.MR2</v>
      </c>
      <c r="L246" s="408" t="s">
        <v>495</v>
      </c>
      <c r="M246" s="409" t="s">
        <v>1352</v>
      </c>
      <c r="N246" s="288" t="s">
        <v>1389</v>
      </c>
      <c r="O246" s="288" t="s">
        <v>1390</v>
      </c>
      <c r="P246" s="377" t="s">
        <v>122</v>
      </c>
      <c r="Q246" s="377" t="str">
        <f t="shared" si="155"/>
        <v>E3.P_L.MR2-MP05-1</v>
      </c>
      <c r="R246" s="717" t="s">
        <v>1411</v>
      </c>
      <c r="S246" s="292" t="s">
        <v>1412</v>
      </c>
      <c r="T246" s="650">
        <v>0.4</v>
      </c>
      <c r="U246" s="381">
        <v>1</v>
      </c>
      <c r="V246" s="380" t="s">
        <v>67</v>
      </c>
      <c r="W246" s="315">
        <v>0.8</v>
      </c>
      <c r="X246" s="330">
        <v>0.2</v>
      </c>
      <c r="Y246" s="295">
        <v>0</v>
      </c>
      <c r="Z246" s="297">
        <v>0</v>
      </c>
      <c r="AA246" s="382"/>
      <c r="AB246" s="383"/>
      <c r="AC246" s="383"/>
      <c r="AD246" s="383"/>
      <c r="AE246" s="383"/>
      <c r="AF246" s="383"/>
      <c r="AG246" s="383"/>
      <c r="AH246" s="383"/>
      <c r="AI246" s="383"/>
      <c r="AJ246" s="383"/>
      <c r="AK246" s="383"/>
      <c r="AL246" s="383"/>
      <c r="AM246" s="383"/>
      <c r="AN246" s="383"/>
      <c r="AO246" s="383"/>
      <c r="AP246" s="383"/>
      <c r="AQ246" s="383"/>
      <c r="AR246" s="383"/>
      <c r="AS246" s="383"/>
      <c r="AT246" s="383"/>
      <c r="AU246" s="383"/>
      <c r="AV246" s="383"/>
      <c r="AW246" s="383"/>
      <c r="AX246" s="383"/>
      <c r="AY246" s="383"/>
      <c r="AZ246" s="383"/>
      <c r="BA246" s="383"/>
      <c r="BB246" s="383"/>
      <c r="BC246" s="384"/>
      <c r="BD246" s="301"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3" t="s">
        <v>1412</v>
      </c>
      <c r="EO246" s="651">
        <v>0.4</v>
      </c>
      <c r="EP246" s="385">
        <v>1</v>
      </c>
      <c r="EQ246" s="276">
        <v>0.8</v>
      </c>
      <c r="ER246" s="276">
        <v>0.2</v>
      </c>
      <c r="ES246" s="275">
        <v>0</v>
      </c>
      <c r="ET246" s="826">
        <v>0</v>
      </c>
    </row>
    <row r="247" spans="1:152" ht="42" customHeight="1" x14ac:dyDescent="0.2">
      <c r="A247" s="277" t="s">
        <v>90</v>
      </c>
      <c r="B247" s="428" t="s">
        <v>91</v>
      </c>
      <c r="C247" s="429" t="s">
        <v>992</v>
      </c>
      <c r="D247" s="429"/>
      <c r="E247" s="8" t="s">
        <v>1343</v>
      </c>
      <c r="F247" s="281" t="str">
        <f t="shared" si="153"/>
        <v>E3.P_L</v>
      </c>
      <c r="G247" s="452" t="s">
        <v>379</v>
      </c>
      <c r="H247" s="452" t="s">
        <v>507</v>
      </c>
      <c r="I247" s="456"/>
      <c r="J247" s="457" t="s">
        <v>167</v>
      </c>
      <c r="K247" s="373" t="str">
        <f t="shared" si="154"/>
        <v>E3.P_L.MR2</v>
      </c>
      <c r="L247" s="408" t="s">
        <v>495</v>
      </c>
      <c r="M247" s="409" t="s">
        <v>1352</v>
      </c>
      <c r="N247" s="288" t="s">
        <v>1389</v>
      </c>
      <c r="O247" s="288" t="s">
        <v>1390</v>
      </c>
      <c r="P247" s="377" t="s">
        <v>1415</v>
      </c>
      <c r="Q247" s="377" t="str">
        <f t="shared" si="155"/>
        <v>E3.P_L.MR2-MP05-2</v>
      </c>
      <c r="R247" s="717" t="s">
        <v>1411</v>
      </c>
      <c r="S247" s="292" t="s">
        <v>1416</v>
      </c>
      <c r="T247" s="380">
        <v>0</v>
      </c>
      <c r="U247" s="381">
        <v>1</v>
      </c>
      <c r="V247" s="380" t="s">
        <v>67</v>
      </c>
      <c r="W247" s="295">
        <v>0</v>
      </c>
      <c r="X247" s="330">
        <v>0.5</v>
      </c>
      <c r="Y247" s="315">
        <v>0.5</v>
      </c>
      <c r="Z247" s="297">
        <v>0</v>
      </c>
      <c r="AA247" s="382"/>
      <c r="AB247" s="383"/>
      <c r="AC247" s="383"/>
      <c r="AD247" s="383"/>
      <c r="AE247" s="383"/>
      <c r="AF247" s="383"/>
      <c r="AG247" s="383"/>
      <c r="AH247" s="383"/>
      <c r="AI247" s="383"/>
      <c r="AJ247" s="383"/>
      <c r="AK247" s="383"/>
      <c r="AL247" s="383"/>
      <c r="AM247" s="383"/>
      <c r="AN247" s="383"/>
      <c r="AO247" s="383"/>
      <c r="AP247" s="383"/>
      <c r="AQ247" s="383"/>
      <c r="AR247" s="383"/>
      <c r="AS247" s="383"/>
      <c r="AT247" s="383"/>
      <c r="AU247" s="383"/>
      <c r="AV247" s="383"/>
      <c r="AW247" s="383"/>
      <c r="AX247" s="383"/>
      <c r="AY247" s="383"/>
      <c r="AZ247" s="383"/>
      <c r="BA247" s="383"/>
      <c r="BB247" s="383"/>
      <c r="BC247" s="384"/>
      <c r="BD247" s="301"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3" t="s">
        <v>1416</v>
      </c>
      <c r="EO247" s="385">
        <v>0</v>
      </c>
      <c r="EP247" s="385">
        <v>1</v>
      </c>
      <c r="EQ247" s="275">
        <v>0</v>
      </c>
      <c r="ER247" s="815">
        <v>0.2</v>
      </c>
      <c r="ES247" s="815">
        <v>0.6</v>
      </c>
      <c r="ET247" s="824">
        <v>0.2</v>
      </c>
    </row>
    <row r="248" spans="1:152" ht="33" customHeight="1" thickBot="1" x14ac:dyDescent="0.25">
      <c r="A248" s="277" t="s">
        <v>90</v>
      </c>
      <c r="B248" s="428" t="s">
        <v>91</v>
      </c>
      <c r="C248" s="429" t="s">
        <v>992</v>
      </c>
      <c r="D248" s="429"/>
      <c r="E248" s="8" t="s">
        <v>1343</v>
      </c>
      <c r="F248" s="281" t="str">
        <f t="shared" si="153"/>
        <v>E3.P_L</v>
      </c>
      <c r="G248" s="452" t="s">
        <v>379</v>
      </c>
      <c r="H248" s="452" t="s">
        <v>507</v>
      </c>
      <c r="I248" s="462"/>
      <c r="J248" s="463" t="s">
        <v>167</v>
      </c>
      <c r="K248" s="464" t="str">
        <f t="shared" si="154"/>
        <v>E3.P_L.MR2</v>
      </c>
      <c r="L248" s="424" t="s">
        <v>495</v>
      </c>
      <c r="M248" s="425" t="s">
        <v>1352</v>
      </c>
      <c r="N248" s="426" t="s">
        <v>1389</v>
      </c>
      <c r="O248" s="426" t="s">
        <v>1390</v>
      </c>
      <c r="P248" s="390" t="s">
        <v>132</v>
      </c>
      <c r="Q248" s="391" t="str">
        <f t="shared" si="155"/>
        <v>E3.P_L.MR2-MP06-1</v>
      </c>
      <c r="R248" s="475" t="s">
        <v>1419</v>
      </c>
      <c r="S248" s="337" t="s">
        <v>1385</v>
      </c>
      <c r="T248" s="618">
        <v>0</v>
      </c>
      <c r="U248" s="619">
        <v>4</v>
      </c>
      <c r="V248" s="618" t="s">
        <v>67</v>
      </c>
      <c r="W248" s="501">
        <v>1</v>
      </c>
      <c r="X248" s="566">
        <v>1</v>
      </c>
      <c r="Y248" s="501">
        <v>1</v>
      </c>
      <c r="Z248" s="567">
        <v>1</v>
      </c>
      <c r="AA248" s="382"/>
      <c r="AB248" s="383"/>
      <c r="AC248" s="383"/>
      <c r="AD248" s="383"/>
      <c r="AE248" s="383"/>
      <c r="AF248" s="383"/>
      <c r="AG248" s="383"/>
      <c r="AH248" s="383"/>
      <c r="AI248" s="383"/>
      <c r="AJ248" s="383"/>
      <c r="AK248" s="383"/>
      <c r="AL248" s="383"/>
      <c r="AM248" s="383"/>
      <c r="AN248" s="383"/>
      <c r="AO248" s="383"/>
      <c r="AP248" s="383"/>
      <c r="AQ248" s="383"/>
      <c r="AR248" s="383"/>
      <c r="AS248" s="383"/>
      <c r="AT248" s="383"/>
      <c r="AU248" s="383"/>
      <c r="AV248" s="383"/>
      <c r="AW248" s="383"/>
      <c r="AX248" s="383"/>
      <c r="AY248" s="383"/>
      <c r="AZ248" s="383"/>
      <c r="BA248" s="383"/>
      <c r="BB248" s="383"/>
      <c r="BC248" s="384"/>
      <c r="BD248" s="301"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8" t="s">
        <v>1419</v>
      </c>
      <c r="EN248" s="274" t="s">
        <v>1385</v>
      </c>
      <c r="EO248" s="385">
        <v>0</v>
      </c>
      <c r="EP248" s="385">
        <v>4</v>
      </c>
      <c r="EQ248" s="275">
        <v>1</v>
      </c>
      <c r="ER248" s="275">
        <v>1</v>
      </c>
      <c r="ES248" s="275">
        <v>1</v>
      </c>
      <c r="ET248" s="826">
        <v>1</v>
      </c>
    </row>
    <row r="249" spans="1:152" ht="105" customHeight="1" x14ac:dyDescent="0.2">
      <c r="A249" s="277" t="s">
        <v>90</v>
      </c>
      <c r="B249" s="428" t="s">
        <v>91</v>
      </c>
      <c r="C249" s="429" t="s">
        <v>992</v>
      </c>
      <c r="D249" s="429"/>
      <c r="E249" s="8" t="s">
        <v>1343</v>
      </c>
      <c r="F249" s="281" t="str">
        <f t="shared" si="153"/>
        <v>E3.P_L</v>
      </c>
      <c r="G249" s="753" t="s">
        <v>379</v>
      </c>
      <c r="H249" s="753" t="s">
        <v>507</v>
      </c>
      <c r="I249" s="453" t="s">
        <v>1422</v>
      </c>
      <c r="J249" s="454" t="s">
        <v>212</v>
      </c>
      <c r="K249" s="455" t="str">
        <f t="shared" si="154"/>
        <v>E3.P_L.MR3</v>
      </c>
      <c r="L249" s="360" t="s">
        <v>503</v>
      </c>
      <c r="M249" s="657" t="s">
        <v>1352</v>
      </c>
      <c r="N249" s="247" t="s">
        <v>1423</v>
      </c>
      <c r="O249" s="247" t="s">
        <v>1424</v>
      </c>
      <c r="P249" s="364" t="s">
        <v>64</v>
      </c>
      <c r="Q249" s="365" t="str">
        <f t="shared" si="155"/>
        <v>E3.P_L.MR3-MP01-1</v>
      </c>
      <c r="R249" s="420" t="s">
        <v>1425</v>
      </c>
      <c r="S249" s="314" t="s">
        <v>1385</v>
      </c>
      <c r="T249" s="368">
        <v>0</v>
      </c>
      <c r="U249" s="369">
        <v>4</v>
      </c>
      <c r="V249" s="368" t="s">
        <v>67</v>
      </c>
      <c r="W249" s="255">
        <v>1</v>
      </c>
      <c r="X249" s="370">
        <v>1</v>
      </c>
      <c r="Y249" s="255">
        <v>1</v>
      </c>
      <c r="Z249" s="371">
        <v>1</v>
      </c>
      <c r="AA249" s="298"/>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300"/>
      <c r="BD249" s="301"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8" t="s">
        <v>1425</v>
      </c>
      <c r="EN249" s="274" t="s">
        <v>1385</v>
      </c>
      <c r="EO249" s="274">
        <v>0</v>
      </c>
      <c r="EP249" s="274">
        <v>4</v>
      </c>
      <c r="EQ249" s="275">
        <v>1</v>
      </c>
      <c r="ER249" s="275">
        <v>1</v>
      </c>
      <c r="ES249" s="275">
        <v>1</v>
      </c>
      <c r="ET249" s="826">
        <v>1</v>
      </c>
    </row>
    <row r="250" spans="1:152" ht="39" customHeight="1" x14ac:dyDescent="0.2">
      <c r="A250" s="277" t="s">
        <v>90</v>
      </c>
      <c r="B250" s="428" t="s">
        <v>91</v>
      </c>
      <c r="C250" s="429" t="s">
        <v>992</v>
      </c>
      <c r="D250" s="429"/>
      <c r="E250" s="8" t="s">
        <v>1343</v>
      </c>
      <c r="F250" s="281" t="str">
        <f t="shared" si="153"/>
        <v>E3.P_L</v>
      </c>
      <c r="G250" s="753" t="s">
        <v>379</v>
      </c>
      <c r="H250" s="753" t="s">
        <v>507</v>
      </c>
      <c r="I250" s="456"/>
      <c r="J250" s="457" t="s">
        <v>212</v>
      </c>
      <c r="K250" s="373" t="str">
        <f t="shared" si="154"/>
        <v>E3.P_L.MR3</v>
      </c>
      <c r="L250" s="286" t="s">
        <v>503</v>
      </c>
      <c r="M250" s="287" t="s">
        <v>1352</v>
      </c>
      <c r="N250" s="288" t="s">
        <v>1423</v>
      </c>
      <c r="O250" s="288" t="s">
        <v>1424</v>
      </c>
      <c r="P250" s="376" t="s">
        <v>87</v>
      </c>
      <c r="Q250" s="377" t="str">
        <f t="shared" si="155"/>
        <v>E3.P_L.MR3-MP02-1</v>
      </c>
      <c r="R250" s="420" t="s">
        <v>1428</v>
      </c>
      <c r="S250" s="314" t="s">
        <v>1429</v>
      </c>
      <c r="T250" s="293">
        <v>7</v>
      </c>
      <c r="U250" s="294">
        <v>3</v>
      </c>
      <c r="V250" s="293" t="s">
        <v>67</v>
      </c>
      <c r="W250" s="295">
        <v>0</v>
      </c>
      <c r="X250" s="296">
        <v>1</v>
      </c>
      <c r="Y250" s="295">
        <v>1</v>
      </c>
      <c r="Z250" s="297">
        <v>1</v>
      </c>
      <c r="AA250" s="298"/>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300"/>
      <c r="BD250" s="301"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8" t="s">
        <v>1428</v>
      </c>
      <c r="EN250" s="274" t="s">
        <v>1429</v>
      </c>
      <c r="EO250" s="274">
        <v>7</v>
      </c>
      <c r="EP250" s="274">
        <v>3</v>
      </c>
      <c r="EQ250" s="276">
        <v>0.5</v>
      </c>
      <c r="ER250" s="814">
        <v>1</v>
      </c>
      <c r="ES250" s="275">
        <v>1</v>
      </c>
      <c r="ET250" s="824">
        <v>0.5</v>
      </c>
    </row>
    <row r="251" spans="1:152" ht="48" customHeight="1" thickBot="1" x14ac:dyDescent="0.25">
      <c r="A251" s="277" t="s">
        <v>90</v>
      </c>
      <c r="B251" s="428" t="s">
        <v>91</v>
      </c>
      <c r="C251" s="429" t="s">
        <v>992</v>
      </c>
      <c r="D251" s="429"/>
      <c r="E251" s="8" t="s">
        <v>1343</v>
      </c>
      <c r="F251" s="281" t="str">
        <f t="shared" si="153"/>
        <v>E3.P_L</v>
      </c>
      <c r="G251" s="753" t="s">
        <v>379</v>
      </c>
      <c r="H251" s="753" t="s">
        <v>507</v>
      </c>
      <c r="I251" s="462"/>
      <c r="J251" s="463" t="s">
        <v>212</v>
      </c>
      <c r="K251" s="464" t="str">
        <f t="shared" si="154"/>
        <v>E3.P_L.MR3</v>
      </c>
      <c r="L251" s="386" t="s">
        <v>503</v>
      </c>
      <c r="M251" s="387" t="s">
        <v>1352</v>
      </c>
      <c r="N251" s="426" t="s">
        <v>1423</v>
      </c>
      <c r="O251" s="426" t="s">
        <v>1424</v>
      </c>
      <c r="P251" s="390" t="s">
        <v>99</v>
      </c>
      <c r="Q251" s="391" t="str">
        <f t="shared" si="155"/>
        <v>E3.P_L.MR3-MP03-1</v>
      </c>
      <c r="R251" s="475" t="s">
        <v>1432</v>
      </c>
      <c r="S251" s="337" t="s">
        <v>1433</v>
      </c>
      <c r="T251" s="350">
        <v>0</v>
      </c>
      <c r="U251" s="351">
        <v>2</v>
      </c>
      <c r="V251" s="350" t="s">
        <v>67</v>
      </c>
      <c r="W251" s="352">
        <v>0</v>
      </c>
      <c r="X251" s="353">
        <v>1</v>
      </c>
      <c r="Y251" s="352">
        <v>1</v>
      </c>
      <c r="Z251" s="354">
        <v>0</v>
      </c>
      <c r="AA251" s="298"/>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300"/>
      <c r="BD251" s="301"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8" t="s">
        <v>1432</v>
      </c>
      <c r="EN251" s="274" t="s">
        <v>1433</v>
      </c>
      <c r="EO251" s="274">
        <v>0</v>
      </c>
      <c r="EP251" s="274">
        <v>2</v>
      </c>
      <c r="EQ251" s="275">
        <v>0</v>
      </c>
      <c r="ER251" s="275">
        <v>1</v>
      </c>
      <c r="ES251" s="275">
        <v>1</v>
      </c>
      <c r="ET251" s="826">
        <v>0</v>
      </c>
    </row>
    <row r="252" spans="1:152" ht="119.25" customHeight="1" x14ac:dyDescent="0.2">
      <c r="A252" s="277" t="s">
        <v>90</v>
      </c>
      <c r="B252" s="428" t="s">
        <v>91</v>
      </c>
      <c r="C252" s="429" t="s">
        <v>992</v>
      </c>
      <c r="D252" s="429"/>
      <c r="E252" s="8" t="s">
        <v>1343</v>
      </c>
      <c r="F252" s="281" t="str">
        <f t="shared" si="153"/>
        <v>E3.P_L</v>
      </c>
      <c r="G252" s="452" t="s">
        <v>379</v>
      </c>
      <c r="H252" s="452" t="s">
        <v>507</v>
      </c>
      <c r="I252" s="453" t="s">
        <v>1436</v>
      </c>
      <c r="J252" s="454" t="s">
        <v>268</v>
      </c>
      <c r="K252" s="455" t="str">
        <f t="shared" si="154"/>
        <v>E3.P_L.MR4</v>
      </c>
      <c r="L252" s="360" t="s">
        <v>511</v>
      </c>
      <c r="M252" s="361" t="s">
        <v>1437</v>
      </c>
      <c r="N252" s="754">
        <v>0</v>
      </c>
      <c r="O252" s="479">
        <v>4</v>
      </c>
      <c r="P252" s="481" t="s">
        <v>64</v>
      </c>
      <c r="Q252" s="481" t="str">
        <f t="shared" si="155"/>
        <v>E3.P_L.MR4-MP01-1</v>
      </c>
      <c r="R252" s="715" t="s">
        <v>1438</v>
      </c>
      <c r="S252" s="716" t="s">
        <v>1439</v>
      </c>
      <c r="T252" s="616">
        <v>0</v>
      </c>
      <c r="U252" s="617">
        <v>1</v>
      </c>
      <c r="V252" s="616" t="s">
        <v>67</v>
      </c>
      <c r="W252" s="484">
        <v>1</v>
      </c>
      <c r="X252" s="485">
        <v>0</v>
      </c>
      <c r="Y252" s="484">
        <v>0</v>
      </c>
      <c r="Z252" s="486">
        <v>0</v>
      </c>
      <c r="AA252" s="298"/>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300"/>
      <c r="BD252" s="301"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3" t="s">
        <v>1439</v>
      </c>
      <c r="EO252" s="274">
        <v>0</v>
      </c>
      <c r="EP252" s="274">
        <v>1</v>
      </c>
      <c r="EQ252" s="275">
        <v>1</v>
      </c>
      <c r="ER252" s="275">
        <v>0</v>
      </c>
      <c r="ES252" s="275">
        <v>0</v>
      </c>
      <c r="ET252" s="826">
        <v>0</v>
      </c>
    </row>
    <row r="253" spans="1:152" ht="40.5" customHeight="1" x14ac:dyDescent="0.2">
      <c r="A253" s="277" t="s">
        <v>90</v>
      </c>
      <c r="B253" s="428" t="s">
        <v>91</v>
      </c>
      <c r="C253" s="429" t="s">
        <v>992</v>
      </c>
      <c r="D253" s="429"/>
      <c r="E253" s="8" t="s">
        <v>1343</v>
      </c>
      <c r="F253" s="281" t="str">
        <f t="shared" si="153"/>
        <v>E3.P_L</v>
      </c>
      <c r="G253" s="282" t="s">
        <v>379</v>
      </c>
      <c r="H253" s="282" t="s">
        <v>507</v>
      </c>
      <c r="I253" s="456"/>
      <c r="J253" s="457" t="s">
        <v>268</v>
      </c>
      <c r="K253" s="373" t="str">
        <f t="shared" si="154"/>
        <v>E3.P_L.MR4</v>
      </c>
      <c r="L253" s="408" t="s">
        <v>511</v>
      </c>
      <c r="M253" s="409" t="s">
        <v>1437</v>
      </c>
      <c r="N253" s="755">
        <v>0</v>
      </c>
      <c r="O253" s="491">
        <v>4</v>
      </c>
      <c r="P253" s="492" t="s">
        <v>74</v>
      </c>
      <c r="Q253" s="492" t="str">
        <f t="shared" si="155"/>
        <v>E3.P_L.MR4-MP01-2</v>
      </c>
      <c r="R253" s="717" t="s">
        <v>1438</v>
      </c>
      <c r="S253" s="292" t="s">
        <v>1442</v>
      </c>
      <c r="T253" s="293">
        <v>0</v>
      </c>
      <c r="U253" s="294">
        <v>1</v>
      </c>
      <c r="V253" s="293" t="s">
        <v>67</v>
      </c>
      <c r="W253" s="295">
        <v>0</v>
      </c>
      <c r="X253" s="296">
        <v>1</v>
      </c>
      <c r="Y253" s="295">
        <v>0</v>
      </c>
      <c r="Z253" s="297">
        <v>0</v>
      </c>
      <c r="AA253" s="298"/>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300"/>
      <c r="BD253" s="301"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3" t="s">
        <v>1442</v>
      </c>
      <c r="EO253" s="274">
        <v>0</v>
      </c>
      <c r="EP253" s="274">
        <v>1</v>
      </c>
      <c r="EQ253" s="275">
        <v>0</v>
      </c>
      <c r="ER253" s="814">
        <v>0</v>
      </c>
      <c r="ES253" s="815">
        <v>0.4</v>
      </c>
      <c r="ET253" s="824">
        <v>0.6</v>
      </c>
    </row>
    <row r="254" spans="1:152" ht="45.75" customHeight="1" x14ac:dyDescent="0.2">
      <c r="A254" s="277" t="s">
        <v>90</v>
      </c>
      <c r="B254" s="428" t="s">
        <v>91</v>
      </c>
      <c r="C254" s="429" t="s">
        <v>992</v>
      </c>
      <c r="D254" s="429"/>
      <c r="E254" s="8" t="s">
        <v>1343</v>
      </c>
      <c r="F254" s="281" t="str">
        <f t="shared" si="153"/>
        <v>E3.P_L</v>
      </c>
      <c r="G254" s="282" t="s">
        <v>379</v>
      </c>
      <c r="H254" s="282" t="s">
        <v>507</v>
      </c>
      <c r="I254" s="456"/>
      <c r="J254" s="457" t="s">
        <v>268</v>
      </c>
      <c r="K254" s="373" t="str">
        <f t="shared" si="154"/>
        <v>E3.P_L.MR4</v>
      </c>
      <c r="L254" s="408" t="s">
        <v>511</v>
      </c>
      <c r="M254" s="409" t="s">
        <v>1437</v>
      </c>
      <c r="N254" s="755">
        <v>0</v>
      </c>
      <c r="O254" s="491">
        <v>4</v>
      </c>
      <c r="P254" s="492" t="s">
        <v>87</v>
      </c>
      <c r="Q254" s="492" t="str">
        <f t="shared" si="155"/>
        <v>E3.P_L.MR4-MP02-1</v>
      </c>
      <c r="R254" s="717" t="s">
        <v>1445</v>
      </c>
      <c r="S254" s="292" t="s">
        <v>1446</v>
      </c>
      <c r="T254" s="293">
        <v>0</v>
      </c>
      <c r="U254" s="294">
        <v>1</v>
      </c>
      <c r="V254" s="293" t="s">
        <v>67</v>
      </c>
      <c r="W254" s="295">
        <v>0.2</v>
      </c>
      <c r="X254" s="296">
        <v>0.8</v>
      </c>
      <c r="Y254" s="295">
        <v>0</v>
      </c>
      <c r="Z254" s="297">
        <v>0</v>
      </c>
      <c r="AA254" s="298"/>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300"/>
      <c r="BD254" s="301"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3" t="s">
        <v>1446</v>
      </c>
      <c r="EO254" s="274">
        <v>0</v>
      </c>
      <c r="EP254" s="274">
        <v>1</v>
      </c>
      <c r="EQ254" s="276">
        <v>0.2</v>
      </c>
      <c r="ER254" s="815">
        <v>0.3</v>
      </c>
      <c r="ES254" s="815">
        <v>0.5</v>
      </c>
      <c r="ET254" s="826">
        <v>0</v>
      </c>
    </row>
    <row r="255" spans="1:152" ht="48.75" customHeight="1" thickBot="1" x14ac:dyDescent="0.25">
      <c r="A255" s="277" t="s">
        <v>90</v>
      </c>
      <c r="B255" s="596" t="s">
        <v>91</v>
      </c>
      <c r="C255" s="597" t="s">
        <v>992</v>
      </c>
      <c r="D255" s="597"/>
      <c r="E255" s="21" t="s">
        <v>1343</v>
      </c>
      <c r="F255" s="598" t="str">
        <f t="shared" si="153"/>
        <v>E3.P_L</v>
      </c>
      <c r="G255" s="422" t="s">
        <v>379</v>
      </c>
      <c r="H255" s="422" t="s">
        <v>507</v>
      </c>
      <c r="I255" s="462"/>
      <c r="J255" s="463" t="s">
        <v>268</v>
      </c>
      <c r="K255" s="464" t="str">
        <f t="shared" si="154"/>
        <v>E3.P_L.MR4</v>
      </c>
      <c r="L255" s="424" t="s">
        <v>511</v>
      </c>
      <c r="M255" s="425" t="s">
        <v>1437</v>
      </c>
      <c r="N255" s="756">
        <v>0</v>
      </c>
      <c r="O255" s="497">
        <v>4</v>
      </c>
      <c r="P255" s="498" t="s">
        <v>1271</v>
      </c>
      <c r="Q255" s="498" t="str">
        <f t="shared" si="155"/>
        <v>E3.P_L.MR4-MP02-2</v>
      </c>
      <c r="R255" s="757" t="s">
        <v>1445</v>
      </c>
      <c r="S255" s="758" t="s">
        <v>1449</v>
      </c>
      <c r="T255" s="338">
        <v>0</v>
      </c>
      <c r="U255" s="339">
        <v>1</v>
      </c>
      <c r="V255" s="338" t="s">
        <v>67</v>
      </c>
      <c r="W255" s="501">
        <v>0</v>
      </c>
      <c r="X255" s="566">
        <v>1</v>
      </c>
      <c r="Y255" s="501">
        <v>0</v>
      </c>
      <c r="Z255" s="567">
        <v>0</v>
      </c>
      <c r="AA255" s="759"/>
      <c r="AB255" s="760"/>
      <c r="AC255" s="760"/>
      <c r="AD255" s="760"/>
      <c r="AE255" s="760"/>
      <c r="AF255" s="760"/>
      <c r="AG255" s="760"/>
      <c r="AH255" s="760"/>
      <c r="AI255" s="760"/>
      <c r="AJ255" s="760"/>
      <c r="AK255" s="760"/>
      <c r="AL255" s="760"/>
      <c r="AM255" s="760"/>
      <c r="AN255" s="760"/>
      <c r="AO255" s="760"/>
      <c r="AP255" s="760"/>
      <c r="AQ255" s="760"/>
      <c r="AR255" s="760"/>
      <c r="AS255" s="760"/>
      <c r="AT255" s="760"/>
      <c r="AU255" s="760"/>
      <c r="AV255" s="760"/>
      <c r="AW255" s="760"/>
      <c r="AX255" s="760"/>
      <c r="AY255" s="760"/>
      <c r="AZ255" s="760"/>
      <c r="BA255" s="760"/>
      <c r="BB255" s="760"/>
      <c r="BC255" s="761"/>
      <c r="BD255" s="301"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3" t="s">
        <v>1449</v>
      </c>
      <c r="EO255" s="274">
        <v>0</v>
      </c>
      <c r="EP255" s="274">
        <v>1</v>
      </c>
      <c r="EQ255" s="275">
        <v>0</v>
      </c>
      <c r="ER255" s="814">
        <v>0</v>
      </c>
      <c r="ES255" s="815">
        <v>0.4</v>
      </c>
      <c r="ET255" s="824">
        <v>0.6</v>
      </c>
    </row>
    <row r="256" spans="1:152" ht="94.5" customHeight="1" x14ac:dyDescent="0.2">
      <c r="A256" s="235" t="s">
        <v>103</v>
      </c>
      <c r="B256" s="762" t="s">
        <v>104</v>
      </c>
      <c r="C256" s="763" t="s">
        <v>1452</v>
      </c>
      <c r="D256" s="764" t="s">
        <v>1453</v>
      </c>
      <c r="E256" s="3" t="s">
        <v>57</v>
      </c>
      <c r="F256" s="641" t="str">
        <f t="shared" si="153"/>
        <v>E4.P_A</v>
      </c>
      <c r="G256" s="732" t="s">
        <v>391</v>
      </c>
      <c r="H256" s="515" t="s">
        <v>542</v>
      </c>
      <c r="I256" s="811" t="s">
        <v>1454</v>
      </c>
      <c r="J256" s="434" t="s">
        <v>61</v>
      </c>
      <c r="K256" s="398" t="str">
        <f t="shared" si="154"/>
        <v>E4.P_A.MR1</v>
      </c>
      <c r="L256" s="360" t="s">
        <v>518</v>
      </c>
      <c r="M256" s="361" t="s">
        <v>1455</v>
      </c>
      <c r="N256" s="765">
        <v>635</v>
      </c>
      <c r="O256" s="765">
        <v>571</v>
      </c>
      <c r="P256" s="766" t="s">
        <v>64</v>
      </c>
      <c r="Q256" s="766" t="str">
        <f t="shared" si="155"/>
        <v>E4.P_A.MR1-MP01-1</v>
      </c>
      <c r="R256" s="416" t="s">
        <v>1456</v>
      </c>
      <c r="S256" s="367" t="s">
        <v>1457</v>
      </c>
      <c r="T256" s="368">
        <v>10</v>
      </c>
      <c r="U256" s="369">
        <v>100</v>
      </c>
      <c r="V256" s="368" t="s">
        <v>67</v>
      </c>
      <c r="W256" s="255">
        <v>25</v>
      </c>
      <c r="X256" s="370">
        <v>25</v>
      </c>
      <c r="Y256" s="255">
        <v>25</v>
      </c>
      <c r="Z256" s="371">
        <v>25</v>
      </c>
      <c r="AA256" s="259">
        <f>40000000+40000000+10000000+80000000+422661060</f>
        <v>592661060</v>
      </c>
      <c r="AB256" s="260">
        <v>0</v>
      </c>
      <c r="AC256" s="260">
        <v>200000000</v>
      </c>
      <c r="AD256" s="260">
        <v>0</v>
      </c>
      <c r="AE256" s="260">
        <v>0</v>
      </c>
      <c r="AF256" s="260">
        <f>200000000+18874000+20000000+80000000+130000000+300000000+150000000+200000000+70000000+150000000+307184290+1325260457+100000000+200000000+356020193</f>
        <v>3607338940</v>
      </c>
      <c r="AG256" s="260">
        <f t="shared" ref="AG256" si="196">SUM(AA256:AF256)</f>
        <v>4400000000</v>
      </c>
      <c r="AH256" s="260">
        <f t="shared" ref="AH256:AM256" si="197">AA256*1.035</f>
        <v>613404197.0999999</v>
      </c>
      <c r="AI256" s="260">
        <f t="shared" si="197"/>
        <v>0</v>
      </c>
      <c r="AJ256" s="260">
        <f t="shared" si="197"/>
        <v>206999999.99999997</v>
      </c>
      <c r="AK256" s="260">
        <f t="shared" si="197"/>
        <v>0</v>
      </c>
      <c r="AL256" s="260">
        <f t="shared" si="197"/>
        <v>0</v>
      </c>
      <c r="AM256" s="260">
        <f t="shared" si="197"/>
        <v>3733595802.8999996</v>
      </c>
      <c r="AN256" s="260">
        <f t="shared" ref="AN256" si="198">SUM(AH256:AM256)</f>
        <v>4554000000</v>
      </c>
      <c r="AO256" s="260">
        <f>AH256*1.035</f>
        <v>634873343.99849987</v>
      </c>
      <c r="AP256" s="260">
        <f t="shared" ref="AP256:BA256" si="199">AI256*1.035</f>
        <v>0</v>
      </c>
      <c r="AQ256" s="260">
        <f t="shared" si="199"/>
        <v>214244999.99999994</v>
      </c>
      <c r="AR256" s="260">
        <f t="shared" si="199"/>
        <v>0</v>
      </c>
      <c r="AS256" s="260">
        <f t="shared" si="199"/>
        <v>0</v>
      </c>
      <c r="AT256" s="260">
        <f t="shared" si="199"/>
        <v>3864271656.0014992</v>
      </c>
      <c r="AU256" s="260">
        <f t="shared" si="199"/>
        <v>4713390000</v>
      </c>
      <c r="AV256" s="260">
        <f t="shared" si="199"/>
        <v>657093911.03844726</v>
      </c>
      <c r="AW256" s="260">
        <f t="shared" si="199"/>
        <v>0</v>
      </c>
      <c r="AX256" s="260">
        <f t="shared" si="199"/>
        <v>221743574.99999991</v>
      </c>
      <c r="AY256" s="260">
        <f t="shared" si="199"/>
        <v>0</v>
      </c>
      <c r="AZ256" s="260">
        <f t="shared" si="199"/>
        <v>0</v>
      </c>
      <c r="BA256" s="260">
        <f t="shared" si="199"/>
        <v>3999521163.9615512</v>
      </c>
      <c r="BB256" s="260">
        <f t="shared" ref="BB256" si="200">SUM(AV256:BA256)</f>
        <v>4878358649.9999981</v>
      </c>
      <c r="BC256" s="645">
        <f t="shared" ref="BC256" si="201">+BB256+AU256+AN256+AG256</f>
        <v>18545748650</v>
      </c>
      <c r="BD256" s="301"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8" t="s">
        <v>1456</v>
      </c>
      <c r="EN256" s="274" t="s">
        <v>1457</v>
      </c>
      <c r="EO256" s="274">
        <v>10</v>
      </c>
      <c r="EP256" s="274">
        <v>100</v>
      </c>
      <c r="EQ256" s="275">
        <v>25</v>
      </c>
      <c r="ER256" s="275">
        <v>25</v>
      </c>
      <c r="ES256" s="275">
        <v>25</v>
      </c>
      <c r="ET256" s="826">
        <v>25</v>
      </c>
    </row>
    <row r="257" spans="1:150" ht="41.25" customHeight="1" x14ac:dyDescent="0.2">
      <c r="A257" s="767" t="s">
        <v>103</v>
      </c>
      <c r="B257" s="428" t="s">
        <v>104</v>
      </c>
      <c r="C257" s="429" t="s">
        <v>1452</v>
      </c>
      <c r="D257" s="429"/>
      <c r="E257" s="8" t="s">
        <v>57</v>
      </c>
      <c r="F257" s="647" t="str">
        <f t="shared" si="153"/>
        <v>E4.P_A</v>
      </c>
      <c r="G257" s="409" t="s">
        <v>391</v>
      </c>
      <c r="H257" s="409" t="s">
        <v>542</v>
      </c>
      <c r="I257" s="442"/>
      <c r="J257" s="284" t="s">
        <v>61</v>
      </c>
      <c r="K257" s="285" t="str">
        <f t="shared" si="154"/>
        <v>E4.P_A.MR1</v>
      </c>
      <c r="L257" s="408" t="s">
        <v>518</v>
      </c>
      <c r="M257" s="409" t="s">
        <v>1455</v>
      </c>
      <c r="N257" s="491">
        <v>635</v>
      </c>
      <c r="O257" s="491">
        <v>571</v>
      </c>
      <c r="P257" s="768" t="s">
        <v>87</v>
      </c>
      <c r="Q257" s="768" t="str">
        <f t="shared" si="155"/>
        <v>E4.P_A.MR1-MP02-1</v>
      </c>
      <c r="R257" s="420" t="s">
        <v>1461</v>
      </c>
      <c r="S257" s="314" t="s">
        <v>1462</v>
      </c>
      <c r="T257" s="319">
        <v>0.17</v>
      </c>
      <c r="U257" s="320">
        <v>1</v>
      </c>
      <c r="V257" s="319" t="s">
        <v>67</v>
      </c>
      <c r="W257" s="321">
        <v>0.25</v>
      </c>
      <c r="X257" s="322">
        <v>0.25</v>
      </c>
      <c r="Y257" s="321">
        <v>0.25</v>
      </c>
      <c r="Z257" s="323">
        <v>0.25</v>
      </c>
      <c r="AA257" s="324"/>
      <c r="AB257" s="325"/>
      <c r="AC257" s="325"/>
      <c r="AD257" s="325"/>
      <c r="AE257" s="325"/>
      <c r="AF257" s="325"/>
      <c r="AG257" s="325"/>
      <c r="AH257" s="325"/>
      <c r="AI257" s="325"/>
      <c r="AJ257" s="325"/>
      <c r="AK257" s="325"/>
      <c r="AL257" s="325"/>
      <c r="AM257" s="325"/>
      <c r="AN257" s="325"/>
      <c r="AO257" s="325"/>
      <c r="AP257" s="325"/>
      <c r="AQ257" s="325"/>
      <c r="AR257" s="325"/>
      <c r="AS257" s="325"/>
      <c r="AT257" s="325"/>
      <c r="AU257" s="325"/>
      <c r="AV257" s="325"/>
      <c r="AW257" s="325"/>
      <c r="AX257" s="325"/>
      <c r="AY257" s="325"/>
      <c r="AZ257" s="325"/>
      <c r="BA257" s="325"/>
      <c r="BB257" s="325"/>
      <c r="BC257" s="326"/>
      <c r="BD257" s="301"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8" t="s">
        <v>1461</v>
      </c>
      <c r="EN257" s="274" t="s">
        <v>1462</v>
      </c>
      <c r="EO257" s="329">
        <v>17</v>
      </c>
      <c r="EP257" s="809">
        <v>100</v>
      </c>
      <c r="EQ257" s="809">
        <v>25</v>
      </c>
      <c r="ER257" s="809">
        <v>25</v>
      </c>
      <c r="ES257" s="809">
        <v>25</v>
      </c>
      <c r="ET257" s="847">
        <v>25</v>
      </c>
    </row>
    <row r="258" spans="1:150" ht="39.75" customHeight="1" x14ac:dyDescent="0.2">
      <c r="A258" s="767" t="s">
        <v>103</v>
      </c>
      <c r="B258" s="428" t="s">
        <v>104</v>
      </c>
      <c r="C258" s="429" t="s">
        <v>1452</v>
      </c>
      <c r="D258" s="429"/>
      <c r="E258" s="8" t="s">
        <v>57</v>
      </c>
      <c r="F258" s="647" t="str">
        <f t="shared" si="153"/>
        <v>E4.P_A</v>
      </c>
      <c r="G258" s="409" t="s">
        <v>391</v>
      </c>
      <c r="H258" s="409" t="s">
        <v>542</v>
      </c>
      <c r="I258" s="442"/>
      <c r="J258" s="284" t="s">
        <v>61</v>
      </c>
      <c r="K258" s="285" t="str">
        <f t="shared" si="154"/>
        <v>E4.P_A.MR1</v>
      </c>
      <c r="L258" s="408" t="s">
        <v>518</v>
      </c>
      <c r="M258" s="409" t="s">
        <v>1455</v>
      </c>
      <c r="N258" s="491">
        <v>635</v>
      </c>
      <c r="O258" s="491">
        <v>571</v>
      </c>
      <c r="P258" s="769" t="s">
        <v>99</v>
      </c>
      <c r="Q258" s="768" t="str">
        <f t="shared" si="155"/>
        <v>E4.P_A.MR1-MP03-1</v>
      </c>
      <c r="R258" s="420" t="s">
        <v>1465</v>
      </c>
      <c r="S258" s="314" t="s">
        <v>1466</v>
      </c>
      <c r="T258" s="380">
        <v>1</v>
      </c>
      <c r="U258" s="381">
        <v>2</v>
      </c>
      <c r="V258" s="380" t="s">
        <v>67</v>
      </c>
      <c r="W258" s="315">
        <v>0.6</v>
      </c>
      <c r="X258" s="330">
        <v>0.8</v>
      </c>
      <c r="Y258" s="315">
        <v>0.6</v>
      </c>
      <c r="Z258" s="297">
        <v>0</v>
      </c>
      <c r="AA258" s="382"/>
      <c r="AB258" s="383"/>
      <c r="AC258" s="383"/>
      <c r="AD258" s="383"/>
      <c r="AE258" s="383"/>
      <c r="AF258" s="383"/>
      <c r="AG258" s="383"/>
      <c r="AH258" s="383"/>
      <c r="AI258" s="383"/>
      <c r="AJ258" s="383"/>
      <c r="AK258" s="383"/>
      <c r="AL258" s="383"/>
      <c r="AM258" s="383"/>
      <c r="AN258" s="383"/>
      <c r="AO258" s="383"/>
      <c r="AP258" s="383"/>
      <c r="AQ258" s="383"/>
      <c r="AR258" s="383"/>
      <c r="AS258" s="383"/>
      <c r="AT258" s="383"/>
      <c r="AU258" s="383"/>
      <c r="AV258" s="383"/>
      <c r="AW258" s="383"/>
      <c r="AX258" s="383"/>
      <c r="AY258" s="383"/>
      <c r="AZ258" s="383"/>
      <c r="BA258" s="383"/>
      <c r="BB258" s="383"/>
      <c r="BC258" s="384"/>
      <c r="BD258" s="301"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8" t="s">
        <v>1465</v>
      </c>
      <c r="EN258" s="274" t="s">
        <v>1466</v>
      </c>
      <c r="EO258" s="385">
        <v>1</v>
      </c>
      <c r="EP258" s="385">
        <v>2</v>
      </c>
      <c r="EQ258" s="276">
        <v>0.6</v>
      </c>
      <c r="ER258" s="276">
        <v>0.8</v>
      </c>
      <c r="ES258" s="276">
        <v>0.6</v>
      </c>
      <c r="ET258" s="826">
        <v>0</v>
      </c>
    </row>
    <row r="259" spans="1:150" ht="38.25" customHeight="1" x14ac:dyDescent="0.2">
      <c r="A259" s="767" t="s">
        <v>103</v>
      </c>
      <c r="B259" s="428" t="s">
        <v>104</v>
      </c>
      <c r="C259" s="429" t="s">
        <v>1452</v>
      </c>
      <c r="D259" s="429"/>
      <c r="E259" s="8" t="s">
        <v>57</v>
      </c>
      <c r="F259" s="647" t="str">
        <f t="shared" si="153"/>
        <v>E4.P_A</v>
      </c>
      <c r="G259" s="409" t="s">
        <v>391</v>
      </c>
      <c r="H259" s="409" t="s">
        <v>542</v>
      </c>
      <c r="I259" s="442"/>
      <c r="J259" s="284" t="s">
        <v>61</v>
      </c>
      <c r="K259" s="285" t="str">
        <f t="shared" si="154"/>
        <v>E4.P_A.MR1</v>
      </c>
      <c r="L259" s="408" t="s">
        <v>518</v>
      </c>
      <c r="M259" s="409" t="s">
        <v>1455</v>
      </c>
      <c r="N259" s="491">
        <v>635</v>
      </c>
      <c r="O259" s="491">
        <v>571</v>
      </c>
      <c r="P259" s="769" t="s">
        <v>112</v>
      </c>
      <c r="Q259" s="768" t="str">
        <f t="shared" si="155"/>
        <v>E4.P_A.MR1-MP04-1</v>
      </c>
      <c r="R259" s="420" t="s">
        <v>1469</v>
      </c>
      <c r="S259" s="314" t="s">
        <v>1470</v>
      </c>
      <c r="T259" s="380">
        <v>2</v>
      </c>
      <c r="U259" s="381">
        <v>2</v>
      </c>
      <c r="V259" s="380" t="s">
        <v>102</v>
      </c>
      <c r="W259" s="315">
        <v>0.5</v>
      </c>
      <c r="X259" s="330">
        <v>0.5</v>
      </c>
      <c r="Y259" s="315">
        <v>0.5</v>
      </c>
      <c r="Z259" s="316">
        <v>0.5</v>
      </c>
      <c r="AA259" s="382"/>
      <c r="AB259" s="383"/>
      <c r="AC259" s="383"/>
      <c r="AD259" s="383"/>
      <c r="AE259" s="383"/>
      <c r="AF259" s="383"/>
      <c r="AG259" s="383"/>
      <c r="AH259" s="383"/>
      <c r="AI259" s="383"/>
      <c r="AJ259" s="383"/>
      <c r="AK259" s="383"/>
      <c r="AL259" s="383"/>
      <c r="AM259" s="383"/>
      <c r="AN259" s="383"/>
      <c r="AO259" s="383"/>
      <c r="AP259" s="383"/>
      <c r="AQ259" s="383"/>
      <c r="AR259" s="383"/>
      <c r="AS259" s="383"/>
      <c r="AT259" s="383"/>
      <c r="AU259" s="383"/>
      <c r="AV259" s="383"/>
      <c r="AW259" s="383"/>
      <c r="AX259" s="383"/>
      <c r="AY259" s="383"/>
      <c r="AZ259" s="383"/>
      <c r="BA259" s="383"/>
      <c r="BB259" s="383"/>
      <c r="BC259" s="384"/>
      <c r="BD259" s="301"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8" t="s">
        <v>1469</v>
      </c>
      <c r="EN259" s="274" t="s">
        <v>1470</v>
      </c>
      <c r="EO259" s="385">
        <v>2</v>
      </c>
      <c r="EP259" s="385">
        <v>2</v>
      </c>
      <c r="EQ259" s="276">
        <v>0.5</v>
      </c>
      <c r="ER259" s="276">
        <v>0.5</v>
      </c>
      <c r="ES259" s="276">
        <v>0.5</v>
      </c>
      <c r="ET259" s="829">
        <v>0.5</v>
      </c>
    </row>
    <row r="260" spans="1:150" ht="36.75" customHeight="1" x14ac:dyDescent="0.2">
      <c r="A260" s="767" t="s">
        <v>103</v>
      </c>
      <c r="B260" s="428" t="s">
        <v>104</v>
      </c>
      <c r="C260" s="429" t="s">
        <v>1452</v>
      </c>
      <c r="D260" s="429"/>
      <c r="E260" s="8" t="s">
        <v>57</v>
      </c>
      <c r="F260" s="647" t="str">
        <f t="shared" si="153"/>
        <v>E4.P_A</v>
      </c>
      <c r="G260" s="409" t="s">
        <v>391</v>
      </c>
      <c r="H260" s="409" t="s">
        <v>542</v>
      </c>
      <c r="I260" s="442"/>
      <c r="J260" s="284" t="s">
        <v>61</v>
      </c>
      <c r="K260" s="285" t="str">
        <f t="shared" si="154"/>
        <v>E4.P_A.MR1</v>
      </c>
      <c r="L260" s="408" t="s">
        <v>518</v>
      </c>
      <c r="M260" s="409" t="s">
        <v>1455</v>
      </c>
      <c r="N260" s="491">
        <v>635</v>
      </c>
      <c r="O260" s="491">
        <v>571</v>
      </c>
      <c r="P260" s="769" t="s">
        <v>122</v>
      </c>
      <c r="Q260" s="768" t="str">
        <f t="shared" si="155"/>
        <v>E4.P_A.MR1-MP05-1</v>
      </c>
      <c r="R260" s="420" t="s">
        <v>1473</v>
      </c>
      <c r="S260" s="314" t="s">
        <v>1474</v>
      </c>
      <c r="T260" s="380">
        <v>0</v>
      </c>
      <c r="U260" s="381">
        <v>1</v>
      </c>
      <c r="V260" s="380" t="s">
        <v>67</v>
      </c>
      <c r="W260" s="321">
        <v>0.25</v>
      </c>
      <c r="X260" s="322">
        <v>0.25</v>
      </c>
      <c r="Y260" s="321">
        <v>0.25</v>
      </c>
      <c r="Z260" s="323">
        <v>0.25</v>
      </c>
      <c r="AA260" s="382"/>
      <c r="AB260" s="383"/>
      <c r="AC260" s="383"/>
      <c r="AD260" s="383"/>
      <c r="AE260" s="383"/>
      <c r="AF260" s="383"/>
      <c r="AG260" s="383"/>
      <c r="AH260" s="383"/>
      <c r="AI260" s="383"/>
      <c r="AJ260" s="383"/>
      <c r="AK260" s="383"/>
      <c r="AL260" s="383"/>
      <c r="AM260" s="383"/>
      <c r="AN260" s="383"/>
      <c r="AO260" s="383"/>
      <c r="AP260" s="383"/>
      <c r="AQ260" s="383"/>
      <c r="AR260" s="383"/>
      <c r="AS260" s="383"/>
      <c r="AT260" s="383"/>
      <c r="AU260" s="383"/>
      <c r="AV260" s="383"/>
      <c r="AW260" s="383"/>
      <c r="AX260" s="383"/>
      <c r="AY260" s="383"/>
      <c r="AZ260" s="383"/>
      <c r="BA260" s="383"/>
      <c r="BB260" s="383"/>
      <c r="BC260" s="384"/>
      <c r="BD260" s="301"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8" t="s">
        <v>1473</v>
      </c>
      <c r="EN260" s="274" t="s">
        <v>1474</v>
      </c>
      <c r="EO260" s="385">
        <v>0</v>
      </c>
      <c r="EP260" s="385">
        <v>1</v>
      </c>
      <c r="EQ260" s="329">
        <v>0.25</v>
      </c>
      <c r="ER260" s="329">
        <v>0.25</v>
      </c>
      <c r="ES260" s="329">
        <v>0.25</v>
      </c>
      <c r="ET260" s="825">
        <v>0.25</v>
      </c>
    </row>
    <row r="261" spans="1:150" ht="36.75" customHeight="1" x14ac:dyDescent="0.2">
      <c r="A261" s="767" t="s">
        <v>103</v>
      </c>
      <c r="B261" s="428" t="s">
        <v>104</v>
      </c>
      <c r="C261" s="429" t="s">
        <v>1452</v>
      </c>
      <c r="D261" s="429"/>
      <c r="E261" s="8" t="s">
        <v>57</v>
      </c>
      <c r="F261" s="647" t="str">
        <f t="shared" si="153"/>
        <v>E4.P_A</v>
      </c>
      <c r="G261" s="409" t="s">
        <v>391</v>
      </c>
      <c r="H261" s="409" t="s">
        <v>542</v>
      </c>
      <c r="I261" s="442"/>
      <c r="J261" s="284" t="s">
        <v>61</v>
      </c>
      <c r="K261" s="285" t="str">
        <f t="shared" si="154"/>
        <v>E4.P_A.MR1</v>
      </c>
      <c r="L261" s="408" t="s">
        <v>518</v>
      </c>
      <c r="M261" s="409" t="s">
        <v>1455</v>
      </c>
      <c r="N261" s="491">
        <v>635</v>
      </c>
      <c r="O261" s="491">
        <v>571</v>
      </c>
      <c r="P261" s="769" t="s">
        <v>132</v>
      </c>
      <c r="Q261" s="768" t="str">
        <f t="shared" si="155"/>
        <v>E4.P_A.MR1-MP06-1</v>
      </c>
      <c r="R261" s="420" t="s">
        <v>1477</v>
      </c>
      <c r="S261" s="314" t="s">
        <v>1478</v>
      </c>
      <c r="T261" s="380">
        <v>0</v>
      </c>
      <c r="U261" s="381">
        <v>2</v>
      </c>
      <c r="V261" s="380" t="s">
        <v>67</v>
      </c>
      <c r="W261" s="295">
        <v>0</v>
      </c>
      <c r="X261" s="296">
        <v>1</v>
      </c>
      <c r="Y261" s="315">
        <v>0.5</v>
      </c>
      <c r="Z261" s="316">
        <v>0.5</v>
      </c>
      <c r="AA261" s="382"/>
      <c r="AB261" s="383"/>
      <c r="AC261" s="383"/>
      <c r="AD261" s="383"/>
      <c r="AE261" s="383"/>
      <c r="AF261" s="383"/>
      <c r="AG261" s="383"/>
      <c r="AH261" s="383"/>
      <c r="AI261" s="383"/>
      <c r="AJ261" s="383"/>
      <c r="AK261" s="383"/>
      <c r="AL261" s="383"/>
      <c r="AM261" s="383"/>
      <c r="AN261" s="383"/>
      <c r="AO261" s="383"/>
      <c r="AP261" s="383"/>
      <c r="AQ261" s="383"/>
      <c r="AR261" s="383"/>
      <c r="AS261" s="383"/>
      <c r="AT261" s="383"/>
      <c r="AU261" s="383"/>
      <c r="AV261" s="383"/>
      <c r="AW261" s="383"/>
      <c r="AX261" s="383"/>
      <c r="AY261" s="383"/>
      <c r="AZ261" s="383"/>
      <c r="BA261" s="383"/>
      <c r="BB261" s="383"/>
      <c r="BC261" s="384"/>
      <c r="BD261" s="301"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8" t="s">
        <v>1477</v>
      </c>
      <c r="EN261" s="274" t="s">
        <v>1478</v>
      </c>
      <c r="EO261" s="385">
        <v>0</v>
      </c>
      <c r="EP261" s="385">
        <v>2</v>
      </c>
      <c r="EQ261" s="275">
        <v>0</v>
      </c>
      <c r="ER261" s="275">
        <v>1</v>
      </c>
      <c r="ES261" s="276">
        <v>0.5</v>
      </c>
      <c r="ET261" s="829">
        <v>0.5</v>
      </c>
    </row>
    <row r="262" spans="1:150" ht="39" customHeight="1" thickBot="1" x14ac:dyDescent="0.25">
      <c r="A262" s="767" t="s">
        <v>103</v>
      </c>
      <c r="B262" s="428" t="s">
        <v>104</v>
      </c>
      <c r="C262" s="429" t="s">
        <v>1452</v>
      </c>
      <c r="D262" s="429"/>
      <c r="E262" s="8" t="s">
        <v>57</v>
      </c>
      <c r="F262" s="647" t="str">
        <f t="shared" si="153"/>
        <v>E4.P_A</v>
      </c>
      <c r="G262" s="409" t="s">
        <v>391</v>
      </c>
      <c r="H262" s="409" t="s">
        <v>542</v>
      </c>
      <c r="I262" s="446"/>
      <c r="J262" s="340" t="s">
        <v>61</v>
      </c>
      <c r="K262" s="400" t="str">
        <f t="shared" si="154"/>
        <v>E4.P_A.MR1</v>
      </c>
      <c r="L262" s="424" t="s">
        <v>518</v>
      </c>
      <c r="M262" s="425" t="s">
        <v>1455</v>
      </c>
      <c r="N262" s="497">
        <v>635</v>
      </c>
      <c r="O262" s="497">
        <v>571</v>
      </c>
      <c r="P262" s="770" t="s">
        <v>142</v>
      </c>
      <c r="Q262" s="771" t="str">
        <f t="shared" si="155"/>
        <v>E4.P_A.MR1-MP07-1</v>
      </c>
      <c r="R262" s="427" t="s">
        <v>1481</v>
      </c>
      <c r="S262" s="349" t="s">
        <v>1482</v>
      </c>
      <c r="T262" s="392">
        <v>9</v>
      </c>
      <c r="U262" s="393">
        <v>11</v>
      </c>
      <c r="V262" s="392" t="s">
        <v>67</v>
      </c>
      <c r="W262" s="394">
        <v>2.75</v>
      </c>
      <c r="X262" s="395">
        <v>2.75</v>
      </c>
      <c r="Y262" s="394">
        <v>2.75</v>
      </c>
      <c r="Z262" s="396">
        <v>2.75</v>
      </c>
      <c r="AA262" s="382"/>
      <c r="AB262" s="383"/>
      <c r="AC262" s="383"/>
      <c r="AD262" s="383"/>
      <c r="AE262" s="383"/>
      <c r="AF262" s="383"/>
      <c r="AG262" s="383"/>
      <c r="AH262" s="383"/>
      <c r="AI262" s="383"/>
      <c r="AJ262" s="383"/>
      <c r="AK262" s="383"/>
      <c r="AL262" s="383"/>
      <c r="AM262" s="383"/>
      <c r="AN262" s="383"/>
      <c r="AO262" s="383"/>
      <c r="AP262" s="383"/>
      <c r="AQ262" s="383"/>
      <c r="AR262" s="383"/>
      <c r="AS262" s="383"/>
      <c r="AT262" s="383"/>
      <c r="AU262" s="383"/>
      <c r="AV262" s="383"/>
      <c r="AW262" s="383"/>
      <c r="AX262" s="383"/>
      <c r="AY262" s="383"/>
      <c r="AZ262" s="383"/>
      <c r="BA262" s="383"/>
      <c r="BB262" s="383"/>
      <c r="BC262" s="384"/>
      <c r="BD262" s="301"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8" t="s">
        <v>1481</v>
      </c>
      <c r="EN262" s="274" t="s">
        <v>1482</v>
      </c>
      <c r="EO262" s="385">
        <v>9</v>
      </c>
      <c r="EP262" s="385">
        <v>11</v>
      </c>
      <c r="EQ262" s="329">
        <v>2.75</v>
      </c>
      <c r="ER262" s="329">
        <v>2.75</v>
      </c>
      <c r="ES262" s="329">
        <v>2.75</v>
      </c>
      <c r="ET262" s="825">
        <v>2.75</v>
      </c>
    </row>
    <row r="263" spans="1:150" ht="74.25" customHeight="1" x14ac:dyDescent="0.2">
      <c r="A263" s="767" t="s">
        <v>103</v>
      </c>
      <c r="B263" s="428" t="s">
        <v>104</v>
      </c>
      <c r="C263" s="429" t="s">
        <v>1452</v>
      </c>
      <c r="D263" s="429"/>
      <c r="E263" s="8" t="s">
        <v>57</v>
      </c>
      <c r="F263" s="647" t="str">
        <f t="shared" si="153"/>
        <v>E4.P_A</v>
      </c>
      <c r="G263" s="409" t="s">
        <v>391</v>
      </c>
      <c r="H263" s="409" t="s">
        <v>542</v>
      </c>
      <c r="I263" s="811" t="s">
        <v>1485</v>
      </c>
      <c r="J263" s="434" t="s">
        <v>167</v>
      </c>
      <c r="K263" s="398" t="str">
        <f t="shared" si="154"/>
        <v>E4.P_A.MR2</v>
      </c>
      <c r="L263" s="360" t="s">
        <v>525</v>
      </c>
      <c r="M263" s="361" t="s">
        <v>1486</v>
      </c>
      <c r="N263" s="247">
        <v>277</v>
      </c>
      <c r="O263" s="247">
        <v>249</v>
      </c>
      <c r="P263" s="772" t="s">
        <v>64</v>
      </c>
      <c r="Q263" s="517" t="str">
        <f t="shared" si="155"/>
        <v>E4.P_A.MR2-MP01-1</v>
      </c>
      <c r="R263" s="505" t="s">
        <v>1487</v>
      </c>
      <c r="S263" s="506" t="s">
        <v>1488</v>
      </c>
      <c r="T263" s="368">
        <v>0</v>
      </c>
      <c r="U263" s="369">
        <v>1</v>
      </c>
      <c r="V263" s="368" t="s">
        <v>67</v>
      </c>
      <c r="W263" s="561">
        <v>0.25</v>
      </c>
      <c r="X263" s="562">
        <v>0.25</v>
      </c>
      <c r="Y263" s="561">
        <v>0.25</v>
      </c>
      <c r="Z263" s="563">
        <v>0.25</v>
      </c>
      <c r="AA263" s="298"/>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300"/>
      <c r="BD263" s="301"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8" t="s">
        <v>1487</v>
      </c>
      <c r="EN263" s="274" t="s">
        <v>1488</v>
      </c>
      <c r="EO263" s="274">
        <v>0</v>
      </c>
      <c r="EP263" s="274">
        <v>1</v>
      </c>
      <c r="EQ263" s="329">
        <v>0.25</v>
      </c>
      <c r="ER263" s="329">
        <v>0.25</v>
      </c>
      <c r="ES263" s="329">
        <v>0.25</v>
      </c>
      <c r="ET263" s="825">
        <v>0.25</v>
      </c>
    </row>
    <row r="264" spans="1:150" ht="54.75" customHeight="1" x14ac:dyDescent="0.2">
      <c r="A264" s="767" t="s">
        <v>103</v>
      </c>
      <c r="B264" s="428" t="s">
        <v>104</v>
      </c>
      <c r="C264" s="429" t="s">
        <v>1452</v>
      </c>
      <c r="D264" s="429"/>
      <c r="E264" s="8" t="s">
        <v>57</v>
      </c>
      <c r="F264" s="647" t="str">
        <f t="shared" si="153"/>
        <v>E4.P_A</v>
      </c>
      <c r="G264" s="409" t="s">
        <v>391</v>
      </c>
      <c r="H264" s="409" t="s">
        <v>542</v>
      </c>
      <c r="I264" s="442"/>
      <c r="J264" s="284" t="s">
        <v>167</v>
      </c>
      <c r="K264" s="285" t="str">
        <f t="shared" si="154"/>
        <v>E4.P_A.MR2</v>
      </c>
      <c r="L264" s="636" t="s">
        <v>525</v>
      </c>
      <c r="M264" s="429" t="s">
        <v>1486</v>
      </c>
      <c r="N264" s="288">
        <v>277</v>
      </c>
      <c r="O264" s="288">
        <v>249</v>
      </c>
      <c r="P264" s="516" t="s">
        <v>87</v>
      </c>
      <c r="Q264" s="526" t="str">
        <f t="shared" si="155"/>
        <v>E4.P_A.MR2-MP02-1</v>
      </c>
      <c r="R264" s="420" t="s">
        <v>1491</v>
      </c>
      <c r="S264" s="314" t="s">
        <v>1492</v>
      </c>
      <c r="T264" s="293">
        <v>1</v>
      </c>
      <c r="U264" s="294">
        <v>1</v>
      </c>
      <c r="V264" s="293" t="s">
        <v>102</v>
      </c>
      <c r="W264" s="321">
        <v>0.25</v>
      </c>
      <c r="X264" s="322">
        <v>0.25</v>
      </c>
      <c r="Y264" s="321">
        <v>0.25</v>
      </c>
      <c r="Z264" s="323">
        <v>0.25</v>
      </c>
      <c r="AA264" s="298"/>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300"/>
      <c r="BD264" s="301"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8" t="s">
        <v>1491</v>
      </c>
      <c r="EN264" s="274" t="s">
        <v>1492</v>
      </c>
      <c r="EO264" s="274">
        <v>1</v>
      </c>
      <c r="EP264" s="274">
        <v>1</v>
      </c>
      <c r="EQ264" s="329">
        <v>0.25</v>
      </c>
      <c r="ER264" s="329">
        <v>0.25</v>
      </c>
      <c r="ES264" s="329">
        <v>0.25</v>
      </c>
      <c r="ET264" s="825">
        <v>0.25</v>
      </c>
    </row>
    <row r="265" spans="1:150" ht="63" customHeight="1" x14ac:dyDescent="0.2">
      <c r="A265" s="767" t="s">
        <v>103</v>
      </c>
      <c r="B265" s="428" t="s">
        <v>104</v>
      </c>
      <c r="C265" s="429" t="s">
        <v>1452</v>
      </c>
      <c r="D265" s="429"/>
      <c r="E265" s="8" t="s">
        <v>57</v>
      </c>
      <c r="F265" s="647" t="str">
        <f t="shared" si="153"/>
        <v>E4.P_A</v>
      </c>
      <c r="G265" s="409" t="s">
        <v>391</v>
      </c>
      <c r="H265" s="409" t="s">
        <v>542</v>
      </c>
      <c r="I265" s="442"/>
      <c r="J265" s="284" t="s">
        <v>167</v>
      </c>
      <c r="K265" s="285" t="str">
        <f t="shared" si="154"/>
        <v>E4.P_A.MR2</v>
      </c>
      <c r="L265" s="636" t="s">
        <v>525</v>
      </c>
      <c r="M265" s="429" t="s">
        <v>1486</v>
      </c>
      <c r="N265" s="288">
        <v>277</v>
      </c>
      <c r="O265" s="288">
        <v>249</v>
      </c>
      <c r="P265" s="516" t="s">
        <v>99</v>
      </c>
      <c r="Q265" s="526" t="str">
        <f t="shared" si="155"/>
        <v>E4.P_A.MR2-MP03-1</v>
      </c>
      <c r="R265" s="420" t="s">
        <v>1495</v>
      </c>
      <c r="S265" s="314" t="s">
        <v>1496</v>
      </c>
      <c r="T265" s="380">
        <v>1</v>
      </c>
      <c r="U265" s="381">
        <v>1</v>
      </c>
      <c r="V265" s="380" t="s">
        <v>102</v>
      </c>
      <c r="W265" s="295">
        <v>1</v>
      </c>
      <c r="X265" s="296">
        <v>0</v>
      </c>
      <c r="Y265" s="295">
        <v>0</v>
      </c>
      <c r="Z265" s="297">
        <v>0</v>
      </c>
      <c r="AA265" s="382"/>
      <c r="AB265" s="383"/>
      <c r="AC265" s="383"/>
      <c r="AD265" s="383"/>
      <c r="AE265" s="383"/>
      <c r="AF265" s="383"/>
      <c r="AG265" s="383"/>
      <c r="AH265" s="383"/>
      <c r="AI265" s="383"/>
      <c r="AJ265" s="383"/>
      <c r="AK265" s="383"/>
      <c r="AL265" s="383"/>
      <c r="AM265" s="383"/>
      <c r="AN265" s="383"/>
      <c r="AO265" s="383"/>
      <c r="AP265" s="383"/>
      <c r="AQ265" s="383"/>
      <c r="AR265" s="383"/>
      <c r="AS265" s="383"/>
      <c r="AT265" s="383"/>
      <c r="AU265" s="383"/>
      <c r="AV265" s="383"/>
      <c r="AW265" s="383"/>
      <c r="AX265" s="383"/>
      <c r="AY265" s="383"/>
      <c r="AZ265" s="383"/>
      <c r="BA265" s="383"/>
      <c r="BB265" s="383"/>
      <c r="BC265" s="384"/>
      <c r="BD265" s="301"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8" t="s">
        <v>1495</v>
      </c>
      <c r="EN265" s="274" t="s">
        <v>1496</v>
      </c>
      <c r="EO265" s="385">
        <v>1</v>
      </c>
      <c r="EP265" s="385">
        <v>1</v>
      </c>
      <c r="EQ265" s="275">
        <v>1</v>
      </c>
      <c r="ER265" s="275">
        <v>0</v>
      </c>
      <c r="ES265" s="275">
        <v>0</v>
      </c>
      <c r="ET265" s="826">
        <v>0</v>
      </c>
    </row>
    <row r="266" spans="1:150" ht="36" customHeight="1" x14ac:dyDescent="0.2">
      <c r="A266" s="767" t="s">
        <v>103</v>
      </c>
      <c r="B266" s="428" t="s">
        <v>104</v>
      </c>
      <c r="C266" s="429" t="s">
        <v>1452</v>
      </c>
      <c r="D266" s="429"/>
      <c r="E266" s="8" t="s">
        <v>57</v>
      </c>
      <c r="F266" s="647" t="str">
        <f t="shared" ref="F266:F304" si="202">+CONCATENATE(A266,E266)</f>
        <v>E4.P_A</v>
      </c>
      <c r="G266" s="409" t="s">
        <v>391</v>
      </c>
      <c r="H266" s="409" t="s">
        <v>542</v>
      </c>
      <c r="I266" s="442"/>
      <c r="J266" s="284" t="s">
        <v>167</v>
      </c>
      <c r="K266" s="285" t="str">
        <f t="shared" ref="K266:K304" si="203">+CONCATENATE(F266,".",J266)</f>
        <v>E4.P_A.MR2</v>
      </c>
      <c r="L266" s="636" t="s">
        <v>525</v>
      </c>
      <c r="M266" s="429" t="s">
        <v>1486</v>
      </c>
      <c r="N266" s="288">
        <v>277</v>
      </c>
      <c r="O266" s="288">
        <v>249</v>
      </c>
      <c r="P266" s="516" t="s">
        <v>112</v>
      </c>
      <c r="Q266" s="526" t="str">
        <f t="shared" ref="Q266:Q304" si="204">+CONCATENATE(K266,"-",P266)</f>
        <v>E4.P_A.MR2-MP04-1</v>
      </c>
      <c r="R266" s="420" t="s">
        <v>1499</v>
      </c>
      <c r="S266" s="314" t="s">
        <v>1500</v>
      </c>
      <c r="T266" s="380">
        <v>1</v>
      </c>
      <c r="U266" s="381">
        <v>1</v>
      </c>
      <c r="V266" s="380" t="s">
        <v>102</v>
      </c>
      <c r="W266" s="295">
        <v>0</v>
      </c>
      <c r="X266" s="296">
        <v>1</v>
      </c>
      <c r="Y266" s="295">
        <v>0</v>
      </c>
      <c r="Z266" s="297">
        <v>0</v>
      </c>
      <c r="AA266" s="382"/>
      <c r="AB266" s="383"/>
      <c r="AC266" s="383"/>
      <c r="AD266" s="383"/>
      <c r="AE266" s="383"/>
      <c r="AF266" s="383"/>
      <c r="AG266" s="383"/>
      <c r="AH266" s="383"/>
      <c r="AI266" s="383"/>
      <c r="AJ266" s="383"/>
      <c r="AK266" s="383"/>
      <c r="AL266" s="383"/>
      <c r="AM266" s="383"/>
      <c r="AN266" s="383"/>
      <c r="AO266" s="383"/>
      <c r="AP266" s="383"/>
      <c r="AQ266" s="383"/>
      <c r="AR266" s="383"/>
      <c r="AS266" s="383"/>
      <c r="AT266" s="383"/>
      <c r="AU266" s="383"/>
      <c r="AV266" s="383"/>
      <c r="AW266" s="383"/>
      <c r="AX266" s="383"/>
      <c r="AY266" s="383"/>
      <c r="AZ266" s="383"/>
      <c r="BA266" s="383"/>
      <c r="BB266" s="383"/>
      <c r="BC266" s="384"/>
      <c r="BD266" s="301"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8" t="s">
        <v>1499</v>
      </c>
      <c r="EN266" s="274" t="s">
        <v>1500</v>
      </c>
      <c r="EO266" s="385">
        <v>1</v>
      </c>
      <c r="EP266" s="385">
        <v>1</v>
      </c>
      <c r="EQ266" s="275">
        <v>0</v>
      </c>
      <c r="ER266" s="275">
        <v>1</v>
      </c>
      <c r="ES266" s="275">
        <v>0</v>
      </c>
      <c r="ET266" s="826">
        <v>0</v>
      </c>
    </row>
    <row r="267" spans="1:150" ht="39" customHeight="1" x14ac:dyDescent="0.2">
      <c r="A267" s="767" t="s">
        <v>103</v>
      </c>
      <c r="B267" s="428" t="s">
        <v>104</v>
      </c>
      <c r="C267" s="429" t="s">
        <v>1452</v>
      </c>
      <c r="D267" s="429"/>
      <c r="E267" s="8" t="s">
        <v>57</v>
      </c>
      <c r="F267" s="647" t="str">
        <f t="shared" si="202"/>
        <v>E4.P_A</v>
      </c>
      <c r="G267" s="409" t="s">
        <v>391</v>
      </c>
      <c r="H267" s="409" t="s">
        <v>542</v>
      </c>
      <c r="I267" s="442"/>
      <c r="J267" s="284" t="s">
        <v>167</v>
      </c>
      <c r="K267" s="285" t="str">
        <f t="shared" si="203"/>
        <v>E4.P_A.MR2</v>
      </c>
      <c r="L267" s="636" t="s">
        <v>525</v>
      </c>
      <c r="M267" s="429" t="s">
        <v>1486</v>
      </c>
      <c r="N267" s="288">
        <v>277</v>
      </c>
      <c r="O267" s="288">
        <v>249</v>
      </c>
      <c r="P267" s="516" t="s">
        <v>122</v>
      </c>
      <c r="Q267" s="526" t="str">
        <f t="shared" si="204"/>
        <v>E4.P_A.MR2-MP05-1</v>
      </c>
      <c r="R267" s="420" t="s">
        <v>1503</v>
      </c>
      <c r="S267" s="314" t="s">
        <v>1504</v>
      </c>
      <c r="T267" s="380">
        <v>0</v>
      </c>
      <c r="U267" s="381">
        <v>1</v>
      </c>
      <c r="V267" s="380" t="s">
        <v>67</v>
      </c>
      <c r="W267" s="295">
        <v>0</v>
      </c>
      <c r="X267" s="296">
        <v>0</v>
      </c>
      <c r="Y267" s="315">
        <v>0.5</v>
      </c>
      <c r="Z267" s="316">
        <v>0.5</v>
      </c>
      <c r="AA267" s="382"/>
      <c r="AB267" s="383"/>
      <c r="AC267" s="383"/>
      <c r="AD267" s="383"/>
      <c r="AE267" s="383"/>
      <c r="AF267" s="383"/>
      <c r="AG267" s="383"/>
      <c r="AH267" s="383"/>
      <c r="AI267" s="383"/>
      <c r="AJ267" s="383"/>
      <c r="AK267" s="383"/>
      <c r="AL267" s="383"/>
      <c r="AM267" s="383"/>
      <c r="AN267" s="383"/>
      <c r="AO267" s="383"/>
      <c r="AP267" s="383"/>
      <c r="AQ267" s="383"/>
      <c r="AR267" s="383"/>
      <c r="AS267" s="383"/>
      <c r="AT267" s="383"/>
      <c r="AU267" s="383"/>
      <c r="AV267" s="383"/>
      <c r="AW267" s="383"/>
      <c r="AX267" s="383"/>
      <c r="AY267" s="383"/>
      <c r="AZ267" s="383"/>
      <c r="BA267" s="383"/>
      <c r="BB267" s="383"/>
      <c r="BC267" s="384"/>
      <c r="BD267" s="301"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8" t="s">
        <v>1503</v>
      </c>
      <c r="EN267" s="274" t="s">
        <v>1504</v>
      </c>
      <c r="EO267" s="385">
        <v>0</v>
      </c>
      <c r="EP267" s="385">
        <v>1</v>
      </c>
      <c r="EQ267" s="275">
        <v>0</v>
      </c>
      <c r="ER267" s="275">
        <v>0</v>
      </c>
      <c r="ES267" s="276">
        <v>0.5</v>
      </c>
      <c r="ET267" s="829">
        <v>0.5</v>
      </c>
    </row>
    <row r="268" spans="1:150" ht="40.5" customHeight="1" thickBot="1" x14ac:dyDescent="0.25">
      <c r="A268" s="767" t="s">
        <v>103</v>
      </c>
      <c r="B268" s="428" t="s">
        <v>104</v>
      </c>
      <c r="C268" s="429" t="s">
        <v>1452</v>
      </c>
      <c r="D268" s="429"/>
      <c r="E268" s="8" t="s">
        <v>57</v>
      </c>
      <c r="F268" s="647" t="str">
        <f t="shared" si="202"/>
        <v>E4.P_A</v>
      </c>
      <c r="G268" s="409" t="s">
        <v>391</v>
      </c>
      <c r="H268" s="409" t="s">
        <v>542</v>
      </c>
      <c r="I268" s="446"/>
      <c r="J268" s="340" t="s">
        <v>167</v>
      </c>
      <c r="K268" s="400" t="str">
        <f t="shared" si="203"/>
        <v>E4.P_A.MR2</v>
      </c>
      <c r="L268" s="637" t="s">
        <v>525</v>
      </c>
      <c r="M268" s="597" t="s">
        <v>1486</v>
      </c>
      <c r="N268" s="426">
        <v>277</v>
      </c>
      <c r="O268" s="426">
        <v>249</v>
      </c>
      <c r="P268" s="773" t="s">
        <v>132</v>
      </c>
      <c r="Q268" s="549" t="str">
        <f t="shared" si="204"/>
        <v>E4.P_A.MR2-MP06-1</v>
      </c>
      <c r="R268" s="475" t="s">
        <v>1507</v>
      </c>
      <c r="S268" s="337" t="s">
        <v>1508</v>
      </c>
      <c r="T268" s="392">
        <v>0</v>
      </c>
      <c r="U268" s="393">
        <v>1</v>
      </c>
      <c r="V268" s="392" t="s">
        <v>67</v>
      </c>
      <c r="W268" s="402">
        <v>0.3</v>
      </c>
      <c r="X268" s="620">
        <v>0</v>
      </c>
      <c r="Y268" s="402">
        <v>0.3</v>
      </c>
      <c r="Z268" s="403">
        <v>0.4</v>
      </c>
      <c r="AA268" s="382"/>
      <c r="AB268" s="383"/>
      <c r="AC268" s="383"/>
      <c r="AD268" s="383"/>
      <c r="AE268" s="383"/>
      <c r="AF268" s="383"/>
      <c r="AG268" s="383"/>
      <c r="AH268" s="383"/>
      <c r="AI268" s="383"/>
      <c r="AJ268" s="383"/>
      <c r="AK268" s="383"/>
      <c r="AL268" s="383"/>
      <c r="AM268" s="383"/>
      <c r="AN268" s="383"/>
      <c r="AO268" s="383"/>
      <c r="AP268" s="383"/>
      <c r="AQ268" s="383"/>
      <c r="AR268" s="383"/>
      <c r="AS268" s="383"/>
      <c r="AT268" s="383"/>
      <c r="AU268" s="383"/>
      <c r="AV268" s="383"/>
      <c r="AW268" s="383"/>
      <c r="AX268" s="383"/>
      <c r="AY268" s="383"/>
      <c r="AZ268" s="383"/>
      <c r="BA268" s="383"/>
      <c r="BB268" s="383"/>
      <c r="BC268" s="384"/>
      <c r="BD268" s="301"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8" t="s">
        <v>1507</v>
      </c>
      <c r="EN268" s="274" t="s">
        <v>1508</v>
      </c>
      <c r="EO268" s="385">
        <v>0</v>
      </c>
      <c r="EP268" s="385">
        <v>1</v>
      </c>
      <c r="EQ268" s="276">
        <v>0.3</v>
      </c>
      <c r="ER268" s="276">
        <v>0</v>
      </c>
      <c r="ES268" s="276">
        <v>0.3</v>
      </c>
      <c r="ET268" s="829">
        <v>0.4</v>
      </c>
    </row>
    <row r="269" spans="1:150" ht="98.25" customHeight="1" x14ac:dyDescent="0.2">
      <c r="A269" s="767" t="s">
        <v>103</v>
      </c>
      <c r="B269" s="428" t="s">
        <v>104</v>
      </c>
      <c r="C269" s="429" t="s">
        <v>1452</v>
      </c>
      <c r="D269" s="429"/>
      <c r="E269" s="8" t="s">
        <v>57</v>
      </c>
      <c r="F269" s="647" t="str">
        <f t="shared" si="202"/>
        <v>E4.P_A</v>
      </c>
      <c r="G269" s="287" t="s">
        <v>391</v>
      </c>
      <c r="H269" s="287" t="s">
        <v>542</v>
      </c>
      <c r="I269" s="774" t="s">
        <v>1511</v>
      </c>
      <c r="J269" s="434" t="s">
        <v>212</v>
      </c>
      <c r="K269" s="398" t="str">
        <f t="shared" si="203"/>
        <v>E4.P_A.MR3</v>
      </c>
      <c r="L269" s="360" t="s">
        <v>537</v>
      </c>
      <c r="M269" s="361" t="s">
        <v>1512</v>
      </c>
      <c r="N269" s="775">
        <v>4.9000000000000002E-2</v>
      </c>
      <c r="O269" s="405">
        <v>0.05</v>
      </c>
      <c r="P269" s="709" t="s">
        <v>64</v>
      </c>
      <c r="Q269" s="710" t="str">
        <f t="shared" si="204"/>
        <v>E4.P_A.MR3-MP01-1</v>
      </c>
      <c r="R269" s="416" t="s">
        <v>1513</v>
      </c>
      <c r="S269" s="367" t="s">
        <v>1488</v>
      </c>
      <c r="T269" s="616">
        <v>0</v>
      </c>
      <c r="U269" s="617">
        <v>1</v>
      </c>
      <c r="V269" s="616" t="s">
        <v>67</v>
      </c>
      <c r="W269" s="776">
        <v>0.25</v>
      </c>
      <c r="X269" s="777">
        <v>0.25</v>
      </c>
      <c r="Y269" s="776">
        <v>0.25</v>
      </c>
      <c r="Z269" s="778">
        <v>0.25</v>
      </c>
      <c r="AA269" s="298"/>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300"/>
      <c r="BD269" s="301"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8" t="s">
        <v>1513</v>
      </c>
      <c r="EN269" s="274" t="s">
        <v>1488</v>
      </c>
      <c r="EO269" s="274">
        <v>0</v>
      </c>
      <c r="EP269" s="274">
        <v>1</v>
      </c>
      <c r="EQ269" s="329">
        <v>0.25</v>
      </c>
      <c r="ER269" s="329">
        <v>0.25</v>
      </c>
      <c r="ES269" s="329">
        <v>0.25</v>
      </c>
      <c r="ET269" s="825">
        <v>0.25</v>
      </c>
    </row>
    <row r="270" spans="1:150" ht="35.25" customHeight="1" x14ac:dyDescent="0.2">
      <c r="A270" s="767" t="s">
        <v>103</v>
      </c>
      <c r="B270" s="428" t="s">
        <v>104</v>
      </c>
      <c r="C270" s="429" t="s">
        <v>1452</v>
      </c>
      <c r="D270" s="429"/>
      <c r="E270" s="8" t="s">
        <v>57</v>
      </c>
      <c r="F270" s="647" t="str">
        <f t="shared" si="202"/>
        <v>E4.P_A</v>
      </c>
      <c r="G270" s="287" t="s">
        <v>391</v>
      </c>
      <c r="H270" s="287" t="s">
        <v>542</v>
      </c>
      <c r="I270" s="442"/>
      <c r="J270" s="284" t="s">
        <v>212</v>
      </c>
      <c r="K270" s="285" t="str">
        <f t="shared" si="203"/>
        <v>E4.P_A.MR3</v>
      </c>
      <c r="L270" s="408" t="s">
        <v>537</v>
      </c>
      <c r="M270" s="409" t="s">
        <v>1512</v>
      </c>
      <c r="N270" s="779">
        <v>4.9000000000000002E-2</v>
      </c>
      <c r="O270" s="288">
        <v>0.05</v>
      </c>
      <c r="P270" s="516" t="s">
        <v>87</v>
      </c>
      <c r="Q270" s="526" t="str">
        <f t="shared" si="204"/>
        <v>E4.P_A.MR3-MP02-1</v>
      </c>
      <c r="R270" s="420" t="s">
        <v>1516</v>
      </c>
      <c r="S270" s="314" t="s">
        <v>1517</v>
      </c>
      <c r="T270" s="293">
        <v>5</v>
      </c>
      <c r="U270" s="294">
        <v>10</v>
      </c>
      <c r="V270" s="293" t="s">
        <v>67</v>
      </c>
      <c r="W270" s="295">
        <v>0</v>
      </c>
      <c r="X270" s="296">
        <v>5</v>
      </c>
      <c r="Y270" s="295">
        <v>0</v>
      </c>
      <c r="Z270" s="297">
        <v>5</v>
      </c>
      <c r="AA270" s="298"/>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300"/>
      <c r="BD270" s="301"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8" t="s">
        <v>1516</v>
      </c>
      <c r="EN270" s="274" t="s">
        <v>1517</v>
      </c>
      <c r="EO270" s="274">
        <v>5</v>
      </c>
      <c r="EP270" s="274">
        <v>10</v>
      </c>
      <c r="EQ270" s="275">
        <v>0</v>
      </c>
      <c r="ER270" s="275">
        <v>5</v>
      </c>
      <c r="ES270" s="814">
        <v>3</v>
      </c>
      <c r="ET270" s="830">
        <v>2</v>
      </c>
    </row>
    <row r="271" spans="1:150" ht="39" customHeight="1" thickBot="1" x14ac:dyDescent="0.25">
      <c r="A271" s="767" t="s">
        <v>103</v>
      </c>
      <c r="B271" s="428" t="s">
        <v>104</v>
      </c>
      <c r="C271" s="429" t="s">
        <v>1452</v>
      </c>
      <c r="D271" s="429"/>
      <c r="E271" s="8" t="s">
        <v>57</v>
      </c>
      <c r="F271" s="647" t="str">
        <f t="shared" si="202"/>
        <v>E4.P_A</v>
      </c>
      <c r="G271" s="287" t="s">
        <v>391</v>
      </c>
      <c r="H271" s="287" t="s">
        <v>542</v>
      </c>
      <c r="I271" s="446"/>
      <c r="J271" s="340" t="s">
        <v>212</v>
      </c>
      <c r="K271" s="400" t="str">
        <f t="shared" si="203"/>
        <v>E4.P_A.MR3</v>
      </c>
      <c r="L271" s="424" t="s">
        <v>537</v>
      </c>
      <c r="M271" s="425" t="s">
        <v>1512</v>
      </c>
      <c r="N271" s="780">
        <v>4.9000000000000002E-2</v>
      </c>
      <c r="O271" s="426">
        <v>0.05</v>
      </c>
      <c r="P271" s="773" t="s">
        <v>99</v>
      </c>
      <c r="Q271" s="549" t="str">
        <f t="shared" si="204"/>
        <v>E4.P_A.MR3-MP03-1</v>
      </c>
      <c r="R271" s="475" t="s">
        <v>1520</v>
      </c>
      <c r="S271" s="337" t="s">
        <v>1521</v>
      </c>
      <c r="T271" s="338">
        <v>1</v>
      </c>
      <c r="U271" s="339">
        <v>2</v>
      </c>
      <c r="V271" s="293" t="s">
        <v>67</v>
      </c>
      <c r="W271" s="315">
        <v>0.3</v>
      </c>
      <c r="X271" s="330">
        <v>0.3</v>
      </c>
      <c r="Y271" s="315">
        <v>1.1000000000000001</v>
      </c>
      <c r="Z271" s="316">
        <v>0.3</v>
      </c>
      <c r="AA271" s="298"/>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300"/>
      <c r="BD271" s="301"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8" t="s">
        <v>1520</v>
      </c>
      <c r="EN271" s="274" t="s">
        <v>1521</v>
      </c>
      <c r="EO271" s="274">
        <v>1</v>
      </c>
      <c r="EP271" s="274">
        <v>2</v>
      </c>
      <c r="EQ271" s="276">
        <v>0.3</v>
      </c>
      <c r="ER271" s="276">
        <v>0.3</v>
      </c>
      <c r="ES271" s="276">
        <v>1.1000000000000001</v>
      </c>
      <c r="ET271" s="829">
        <v>0.3</v>
      </c>
    </row>
    <row r="272" spans="1:150" ht="147" customHeight="1" x14ac:dyDescent="0.2">
      <c r="A272" s="767" t="s">
        <v>103</v>
      </c>
      <c r="B272" s="428" t="s">
        <v>104</v>
      </c>
      <c r="C272" s="429" t="s">
        <v>1452</v>
      </c>
      <c r="D272" s="429"/>
      <c r="E272" s="8" t="s">
        <v>57</v>
      </c>
      <c r="F272" s="647" t="str">
        <f t="shared" si="202"/>
        <v>E4.P_A</v>
      </c>
      <c r="G272" s="409" t="s">
        <v>391</v>
      </c>
      <c r="H272" s="409" t="s">
        <v>542</v>
      </c>
      <c r="I272" s="811" t="s">
        <v>1524</v>
      </c>
      <c r="J272" s="434" t="s">
        <v>268</v>
      </c>
      <c r="K272" s="398" t="str">
        <f t="shared" si="203"/>
        <v>E4.P_A.MR4</v>
      </c>
      <c r="L272" s="360" t="s">
        <v>547</v>
      </c>
      <c r="M272" s="361" t="s">
        <v>1525</v>
      </c>
      <c r="N272" s="754">
        <v>7357</v>
      </c>
      <c r="O272" s="479">
        <v>11035</v>
      </c>
      <c r="P272" s="781" t="s">
        <v>64</v>
      </c>
      <c r="Q272" s="766" t="str">
        <f t="shared" si="204"/>
        <v>E4.P_A.MR4-MP01-1</v>
      </c>
      <c r="R272" s="420" t="s">
        <v>1526</v>
      </c>
      <c r="S272" s="314" t="s">
        <v>1527</v>
      </c>
      <c r="T272" s="293">
        <v>0</v>
      </c>
      <c r="U272" s="294">
        <v>1</v>
      </c>
      <c r="V272" s="293" t="s">
        <v>67</v>
      </c>
      <c r="W272" s="321">
        <v>0.25</v>
      </c>
      <c r="X272" s="322">
        <v>0.25</v>
      </c>
      <c r="Y272" s="321">
        <v>0.25</v>
      </c>
      <c r="Z272" s="323">
        <v>0.25</v>
      </c>
      <c r="AA272" s="298"/>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300"/>
      <c r="BD272" s="301"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8" t="s">
        <v>1526</v>
      </c>
      <c r="EN272" s="274" t="s">
        <v>1527</v>
      </c>
      <c r="EO272" s="274">
        <v>0</v>
      </c>
      <c r="EP272" s="274">
        <v>1</v>
      </c>
      <c r="EQ272" s="329">
        <v>0.25</v>
      </c>
      <c r="ER272" s="329">
        <v>0.25</v>
      </c>
      <c r="ES272" s="329">
        <v>0.25</v>
      </c>
      <c r="ET272" s="825">
        <v>0.25</v>
      </c>
    </row>
    <row r="273" spans="1:150" ht="39" customHeight="1" x14ac:dyDescent="0.2">
      <c r="A273" s="767" t="s">
        <v>103</v>
      </c>
      <c r="B273" s="428" t="s">
        <v>104</v>
      </c>
      <c r="C273" s="429" t="s">
        <v>1452</v>
      </c>
      <c r="D273" s="429"/>
      <c r="E273" s="8" t="s">
        <v>57</v>
      </c>
      <c r="F273" s="647" t="str">
        <f t="shared" si="202"/>
        <v>E4.P_A</v>
      </c>
      <c r="G273" s="409" t="s">
        <v>391</v>
      </c>
      <c r="H273" s="409" t="s">
        <v>542</v>
      </c>
      <c r="I273" s="442"/>
      <c r="J273" s="284" t="s">
        <v>268</v>
      </c>
      <c r="K273" s="285" t="str">
        <f t="shared" si="203"/>
        <v>E4.P_A.MR4</v>
      </c>
      <c r="L273" s="408" t="s">
        <v>547</v>
      </c>
      <c r="M273" s="409" t="s">
        <v>1525</v>
      </c>
      <c r="N273" s="755">
        <v>7357</v>
      </c>
      <c r="O273" s="491">
        <v>11035</v>
      </c>
      <c r="P273" s="769" t="s">
        <v>87</v>
      </c>
      <c r="Q273" s="768" t="str">
        <f t="shared" si="204"/>
        <v>E4.P_A.MR4-MP02-1</v>
      </c>
      <c r="R273" s="420" t="s">
        <v>1530</v>
      </c>
      <c r="S273" s="314" t="s">
        <v>1531</v>
      </c>
      <c r="T273" s="293">
        <v>1</v>
      </c>
      <c r="U273" s="294">
        <v>3</v>
      </c>
      <c r="V273" s="293" t="s">
        <v>67</v>
      </c>
      <c r="W273" s="295">
        <v>0</v>
      </c>
      <c r="X273" s="296">
        <v>1</v>
      </c>
      <c r="Y273" s="295">
        <v>1</v>
      </c>
      <c r="Z273" s="297">
        <v>1</v>
      </c>
      <c r="AA273" s="298"/>
      <c r="AB273" s="299"/>
      <c r="AC273" s="299"/>
      <c r="AD273" s="299"/>
      <c r="AE273" s="299"/>
      <c r="AF273" s="299"/>
      <c r="AG273" s="299"/>
      <c r="AH273" s="299"/>
      <c r="AI273" s="299"/>
      <c r="AJ273" s="299"/>
      <c r="AK273" s="299"/>
      <c r="AL273" s="299"/>
      <c r="AM273" s="299"/>
      <c r="AN273" s="299"/>
      <c r="AO273" s="299"/>
      <c r="AP273" s="299"/>
      <c r="AQ273" s="299"/>
      <c r="AR273" s="299"/>
      <c r="AS273" s="299"/>
      <c r="AT273" s="299"/>
      <c r="AU273" s="299"/>
      <c r="AV273" s="299"/>
      <c r="AW273" s="299"/>
      <c r="AX273" s="299"/>
      <c r="AY273" s="299"/>
      <c r="AZ273" s="299"/>
      <c r="BA273" s="299"/>
      <c r="BB273" s="299"/>
      <c r="BC273" s="300"/>
      <c r="BD273" s="301"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8" t="s">
        <v>1530</v>
      </c>
      <c r="EN273" s="274" t="s">
        <v>1531</v>
      </c>
      <c r="EO273" s="274">
        <v>1</v>
      </c>
      <c r="EP273" s="274">
        <v>3</v>
      </c>
      <c r="EQ273" s="275">
        <v>0</v>
      </c>
      <c r="ER273" s="275">
        <v>1</v>
      </c>
      <c r="ES273" s="275">
        <v>1</v>
      </c>
      <c r="ET273" s="826">
        <v>1</v>
      </c>
    </row>
    <row r="274" spans="1:150" ht="35.25" customHeight="1" thickBot="1" x14ac:dyDescent="0.25">
      <c r="A274" s="767" t="s">
        <v>103</v>
      </c>
      <c r="B274" s="428" t="s">
        <v>104</v>
      </c>
      <c r="C274" s="429" t="s">
        <v>1452</v>
      </c>
      <c r="D274" s="429"/>
      <c r="E274" s="8" t="s">
        <v>57</v>
      </c>
      <c r="F274" s="647" t="str">
        <f t="shared" si="202"/>
        <v>E4.P_A</v>
      </c>
      <c r="G274" s="425" t="s">
        <v>391</v>
      </c>
      <c r="H274" s="425" t="s">
        <v>542</v>
      </c>
      <c r="I274" s="446"/>
      <c r="J274" s="340" t="s">
        <v>268</v>
      </c>
      <c r="K274" s="400" t="str">
        <f t="shared" si="203"/>
        <v>E4.P_A.MR4</v>
      </c>
      <c r="L274" s="424" t="s">
        <v>547</v>
      </c>
      <c r="M274" s="425" t="s">
        <v>1525</v>
      </c>
      <c r="N274" s="756">
        <v>7357</v>
      </c>
      <c r="O274" s="497">
        <v>11035</v>
      </c>
      <c r="P274" s="770" t="s">
        <v>99</v>
      </c>
      <c r="Q274" s="782" t="str">
        <f t="shared" si="204"/>
        <v>E4.P_A.MR4-MP03-1</v>
      </c>
      <c r="R274" s="475" t="s">
        <v>1534</v>
      </c>
      <c r="S274" s="337" t="s">
        <v>1488</v>
      </c>
      <c r="T274" s="338">
        <v>0</v>
      </c>
      <c r="U274" s="339">
        <v>1</v>
      </c>
      <c r="V274" s="338" t="s">
        <v>67</v>
      </c>
      <c r="W274" s="501">
        <v>0</v>
      </c>
      <c r="X274" s="783">
        <v>0.5</v>
      </c>
      <c r="Y274" s="784">
        <v>0</v>
      </c>
      <c r="Z274" s="567">
        <v>0.5</v>
      </c>
      <c r="AA274" s="298"/>
      <c r="AB274" s="299"/>
      <c r="AC274" s="299"/>
      <c r="AD274" s="299"/>
      <c r="AE274" s="299"/>
      <c r="AF274" s="299"/>
      <c r="AG274" s="299"/>
      <c r="AH274" s="299"/>
      <c r="AI274" s="299"/>
      <c r="AJ274" s="299"/>
      <c r="AK274" s="299"/>
      <c r="AL274" s="299"/>
      <c r="AM274" s="299"/>
      <c r="AN274" s="299"/>
      <c r="AO274" s="299"/>
      <c r="AP274" s="299"/>
      <c r="AQ274" s="299"/>
      <c r="AR274" s="299"/>
      <c r="AS274" s="299"/>
      <c r="AT274" s="299"/>
      <c r="AU274" s="299"/>
      <c r="AV274" s="299"/>
      <c r="AW274" s="299"/>
      <c r="AX274" s="299"/>
      <c r="AY274" s="299"/>
      <c r="AZ274" s="299"/>
      <c r="BA274" s="299"/>
      <c r="BB274" s="299"/>
      <c r="BC274" s="300"/>
      <c r="BD274" s="301"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8" t="s">
        <v>1534</v>
      </c>
      <c r="EN274" s="274" t="s">
        <v>1488</v>
      </c>
      <c r="EO274" s="274">
        <v>0</v>
      </c>
      <c r="EP274" s="274">
        <v>1</v>
      </c>
      <c r="EQ274" s="275">
        <v>0</v>
      </c>
      <c r="ER274" s="276">
        <v>0.5</v>
      </c>
      <c r="ES274" s="276">
        <v>0</v>
      </c>
      <c r="ET274" s="829">
        <v>0.5</v>
      </c>
    </row>
    <row r="275" spans="1:150" ht="101.25" customHeight="1" x14ac:dyDescent="0.2">
      <c r="A275" s="767" t="s">
        <v>103</v>
      </c>
      <c r="B275" s="428" t="s">
        <v>104</v>
      </c>
      <c r="C275" s="429" t="s">
        <v>1452</v>
      </c>
      <c r="D275" s="430" t="s">
        <v>1537</v>
      </c>
      <c r="E275" s="3" t="s">
        <v>372</v>
      </c>
      <c r="F275" s="3" t="str">
        <f t="shared" si="202"/>
        <v>E4.P_B</v>
      </c>
      <c r="G275" s="478" t="s">
        <v>402</v>
      </c>
      <c r="H275" s="361" t="s">
        <v>572</v>
      </c>
      <c r="I275" s="811" t="s">
        <v>1538</v>
      </c>
      <c r="J275" s="434" t="s">
        <v>61</v>
      </c>
      <c r="K275" s="398" t="str">
        <f t="shared" si="203"/>
        <v>E4.P_B.MR1</v>
      </c>
      <c r="L275" s="360" t="s">
        <v>554</v>
      </c>
      <c r="M275" s="361" t="s">
        <v>1539</v>
      </c>
      <c r="N275" s="362">
        <v>4</v>
      </c>
      <c r="O275" s="247">
        <v>6</v>
      </c>
      <c r="P275" s="364" t="s">
        <v>64</v>
      </c>
      <c r="Q275" s="365" t="str">
        <f t="shared" si="204"/>
        <v>E4.P_B.MR1-MP01-1</v>
      </c>
      <c r="R275" s="416" t="s">
        <v>1540</v>
      </c>
      <c r="S275" s="367" t="s">
        <v>1541</v>
      </c>
      <c r="T275" s="368">
        <v>0</v>
      </c>
      <c r="U275" s="369">
        <v>1</v>
      </c>
      <c r="V275" s="368" t="s">
        <v>67</v>
      </c>
      <c r="W275" s="255">
        <v>0</v>
      </c>
      <c r="X275" s="370">
        <v>1</v>
      </c>
      <c r="Y275" s="255">
        <v>0</v>
      </c>
      <c r="Z275" s="371">
        <v>0</v>
      </c>
      <c r="AA275" s="589">
        <f>20000000+10000000-1350419925+1320419925</f>
        <v>0</v>
      </c>
      <c r="AB275" s="590">
        <v>0</v>
      </c>
      <c r="AC275" s="590">
        <f>1000000000-1000000000</f>
        <v>0</v>
      </c>
      <c r="AD275" s="590">
        <v>0</v>
      </c>
      <c r="AE275" s="590">
        <v>0</v>
      </c>
      <c r="AF275" s="590">
        <f>620372665+47260-320372665-47260</f>
        <v>300000000</v>
      </c>
      <c r="AG275" s="590">
        <f>SUM(AA275:AF275)</f>
        <v>300000000</v>
      </c>
      <c r="AH275" s="590">
        <f t="shared" ref="AH275:AM275" si="205">AA275*1.035</f>
        <v>0</v>
      </c>
      <c r="AI275" s="590">
        <f t="shared" si="205"/>
        <v>0</v>
      </c>
      <c r="AJ275" s="590">
        <f t="shared" si="205"/>
        <v>0</v>
      </c>
      <c r="AK275" s="590">
        <f t="shared" si="205"/>
        <v>0</v>
      </c>
      <c r="AL275" s="590">
        <f t="shared" si="205"/>
        <v>0</v>
      </c>
      <c r="AM275" s="590">
        <f t="shared" si="205"/>
        <v>310500000</v>
      </c>
      <c r="AN275" s="590">
        <f>SUM(AH275:AM275)</f>
        <v>310500000</v>
      </c>
      <c r="AO275" s="590">
        <f t="shared" ref="AO275:AT275" si="206">AH275*1.035</f>
        <v>0</v>
      </c>
      <c r="AP275" s="590">
        <f t="shared" si="206"/>
        <v>0</v>
      </c>
      <c r="AQ275" s="590">
        <f t="shared" si="206"/>
        <v>0</v>
      </c>
      <c r="AR275" s="590">
        <f t="shared" si="206"/>
        <v>0</v>
      </c>
      <c r="AS275" s="590">
        <f t="shared" si="206"/>
        <v>0</v>
      </c>
      <c r="AT275" s="590">
        <f t="shared" si="206"/>
        <v>321367500</v>
      </c>
      <c r="AU275" s="590">
        <f>SUM(AO275:AT275)</f>
        <v>321367500</v>
      </c>
      <c r="AV275" s="590">
        <f t="shared" ref="AV275:BA275" si="207">AO275*1.035</f>
        <v>0</v>
      </c>
      <c r="AW275" s="590">
        <f t="shared" si="207"/>
        <v>0</v>
      </c>
      <c r="AX275" s="590">
        <f t="shared" si="207"/>
        <v>0</v>
      </c>
      <c r="AY275" s="590">
        <f t="shared" si="207"/>
        <v>0</v>
      </c>
      <c r="AZ275" s="590">
        <f t="shared" si="207"/>
        <v>0</v>
      </c>
      <c r="BA275" s="590">
        <f t="shared" si="207"/>
        <v>332615362.5</v>
      </c>
      <c r="BB275" s="590">
        <f>SUM(AV275:BA275)</f>
        <v>332615362.5</v>
      </c>
      <c r="BC275" s="658">
        <f t="shared" ref="BC275" si="208">+BB275+AU275+AN275+AG275</f>
        <v>1264482862.5</v>
      </c>
      <c r="BD275" s="301"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8" t="s">
        <v>1540</v>
      </c>
      <c r="EN275" s="274" t="s">
        <v>1541</v>
      </c>
      <c r="EO275" s="274">
        <v>0</v>
      </c>
      <c r="EP275" s="274">
        <v>1</v>
      </c>
      <c r="EQ275" s="275">
        <v>0</v>
      </c>
      <c r="ER275" s="275">
        <v>1</v>
      </c>
      <c r="ES275" s="275">
        <v>0</v>
      </c>
      <c r="ET275" s="826">
        <v>0</v>
      </c>
    </row>
    <row r="276" spans="1:150" ht="38.25" customHeight="1" x14ac:dyDescent="0.2">
      <c r="A276" s="767" t="s">
        <v>103</v>
      </c>
      <c r="B276" s="428" t="s">
        <v>104</v>
      </c>
      <c r="C276" s="429" t="s">
        <v>1452</v>
      </c>
      <c r="D276" s="429"/>
      <c r="E276" s="8" t="s">
        <v>372</v>
      </c>
      <c r="F276" s="647" t="str">
        <f t="shared" si="202"/>
        <v>E4.P_B</v>
      </c>
      <c r="G276" s="409" t="s">
        <v>402</v>
      </c>
      <c r="H276" s="409" t="s">
        <v>572</v>
      </c>
      <c r="I276" s="442"/>
      <c r="J276" s="284" t="s">
        <v>61</v>
      </c>
      <c r="K276" s="285" t="str">
        <f t="shared" si="203"/>
        <v>E4.P_B.MR1</v>
      </c>
      <c r="L276" s="511" t="s">
        <v>554</v>
      </c>
      <c r="M276" s="512" t="s">
        <v>1539</v>
      </c>
      <c r="N276" s="374">
        <v>4</v>
      </c>
      <c r="O276" s="288">
        <v>6</v>
      </c>
      <c r="P276" s="376" t="s">
        <v>87</v>
      </c>
      <c r="Q276" s="377" t="str">
        <f t="shared" si="204"/>
        <v>E4.P_B.MR1-MP02-1</v>
      </c>
      <c r="R276" s="420" t="s">
        <v>1544</v>
      </c>
      <c r="S276" s="314" t="s">
        <v>1545</v>
      </c>
      <c r="T276" s="293">
        <v>1</v>
      </c>
      <c r="U276" s="294">
        <v>1</v>
      </c>
      <c r="V276" s="293" t="s">
        <v>102</v>
      </c>
      <c r="W276" s="321">
        <v>0.25</v>
      </c>
      <c r="X276" s="322">
        <v>0.75</v>
      </c>
      <c r="Y276" s="295">
        <v>0</v>
      </c>
      <c r="Z276" s="297">
        <v>0</v>
      </c>
      <c r="AA276" s="298"/>
      <c r="AB276" s="299"/>
      <c r="AC276" s="299"/>
      <c r="AD276" s="299"/>
      <c r="AE276" s="299"/>
      <c r="AF276" s="299"/>
      <c r="AG276" s="299"/>
      <c r="AH276" s="299"/>
      <c r="AI276" s="299"/>
      <c r="AJ276" s="299"/>
      <c r="AK276" s="299"/>
      <c r="AL276" s="299"/>
      <c r="AM276" s="299"/>
      <c r="AN276" s="299"/>
      <c r="AO276" s="299"/>
      <c r="AP276" s="299"/>
      <c r="AQ276" s="299"/>
      <c r="AR276" s="299"/>
      <c r="AS276" s="299"/>
      <c r="AT276" s="299"/>
      <c r="AU276" s="299"/>
      <c r="AV276" s="299"/>
      <c r="AW276" s="299"/>
      <c r="AX276" s="299"/>
      <c r="AY276" s="299"/>
      <c r="AZ276" s="299"/>
      <c r="BA276" s="299"/>
      <c r="BB276" s="299"/>
      <c r="BC276" s="300"/>
      <c r="BD276" s="301"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8" t="s">
        <v>1544</v>
      </c>
      <c r="EN276" s="274" t="s">
        <v>1545</v>
      </c>
      <c r="EO276" s="274">
        <v>1</v>
      </c>
      <c r="EP276" s="274">
        <v>1</v>
      </c>
      <c r="EQ276" s="329">
        <v>0.25</v>
      </c>
      <c r="ER276" s="329">
        <v>0.75</v>
      </c>
      <c r="ES276" s="275">
        <v>0</v>
      </c>
      <c r="ET276" s="826">
        <v>0</v>
      </c>
    </row>
    <row r="277" spans="1:150" ht="39" customHeight="1" x14ac:dyDescent="0.2">
      <c r="A277" s="767" t="s">
        <v>103</v>
      </c>
      <c r="B277" s="428" t="s">
        <v>104</v>
      </c>
      <c r="C277" s="429" t="s">
        <v>1452</v>
      </c>
      <c r="D277" s="429"/>
      <c r="E277" s="8" t="s">
        <v>372</v>
      </c>
      <c r="F277" s="647" t="str">
        <f t="shared" si="202"/>
        <v>E4.P_B</v>
      </c>
      <c r="G277" s="409" t="s">
        <v>402</v>
      </c>
      <c r="H277" s="409" t="s">
        <v>572</v>
      </c>
      <c r="I277" s="442"/>
      <c r="J277" s="284" t="s">
        <v>61</v>
      </c>
      <c r="K277" s="285" t="str">
        <f t="shared" si="203"/>
        <v>E4.P_B.MR1</v>
      </c>
      <c r="L277" s="511" t="s">
        <v>554</v>
      </c>
      <c r="M277" s="512" t="s">
        <v>1539</v>
      </c>
      <c r="N277" s="374">
        <v>4</v>
      </c>
      <c r="O277" s="288">
        <v>6</v>
      </c>
      <c r="P277" s="376" t="s">
        <v>99</v>
      </c>
      <c r="Q277" s="377" t="str">
        <f t="shared" si="204"/>
        <v>E4.P_B.MR1-MP03-1</v>
      </c>
      <c r="R277" s="420" t="s">
        <v>1548</v>
      </c>
      <c r="S277" s="314" t="s">
        <v>1539</v>
      </c>
      <c r="T277" s="293">
        <v>2</v>
      </c>
      <c r="U277" s="294">
        <v>4</v>
      </c>
      <c r="V277" s="293" t="s">
        <v>67</v>
      </c>
      <c r="W277" s="295">
        <v>1</v>
      </c>
      <c r="X277" s="296">
        <v>1</v>
      </c>
      <c r="Y277" s="295">
        <v>1</v>
      </c>
      <c r="Z277" s="297">
        <v>1</v>
      </c>
      <c r="AA277" s="298"/>
      <c r="AB277" s="299"/>
      <c r="AC277" s="299"/>
      <c r="AD277" s="299"/>
      <c r="AE277" s="299"/>
      <c r="AF277" s="299"/>
      <c r="AG277" s="299"/>
      <c r="AH277" s="299"/>
      <c r="AI277" s="299"/>
      <c r="AJ277" s="299"/>
      <c r="AK277" s="299"/>
      <c r="AL277" s="299"/>
      <c r="AM277" s="299"/>
      <c r="AN277" s="299"/>
      <c r="AO277" s="299"/>
      <c r="AP277" s="299"/>
      <c r="AQ277" s="299"/>
      <c r="AR277" s="299"/>
      <c r="AS277" s="299"/>
      <c r="AT277" s="299"/>
      <c r="AU277" s="299"/>
      <c r="AV277" s="299"/>
      <c r="AW277" s="299"/>
      <c r="AX277" s="299"/>
      <c r="AY277" s="299"/>
      <c r="AZ277" s="299"/>
      <c r="BA277" s="299"/>
      <c r="BB277" s="299"/>
      <c r="BC277" s="300"/>
      <c r="BD277" s="301"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8" t="s">
        <v>1548</v>
      </c>
      <c r="EN277" s="274" t="s">
        <v>1539</v>
      </c>
      <c r="EO277" s="274">
        <v>2</v>
      </c>
      <c r="EP277" s="274">
        <v>4</v>
      </c>
      <c r="EQ277" s="275">
        <v>1</v>
      </c>
      <c r="ER277" s="275">
        <v>1</v>
      </c>
      <c r="ES277" s="275">
        <v>1</v>
      </c>
      <c r="ET277" s="826">
        <v>1</v>
      </c>
    </row>
    <row r="278" spans="1:150" ht="44.25" customHeight="1" x14ac:dyDescent="0.2">
      <c r="A278" s="767" t="s">
        <v>103</v>
      </c>
      <c r="B278" s="428" t="s">
        <v>104</v>
      </c>
      <c r="C278" s="429" t="s">
        <v>1452</v>
      </c>
      <c r="D278" s="429"/>
      <c r="E278" s="8" t="s">
        <v>372</v>
      </c>
      <c r="F278" s="647" t="str">
        <f t="shared" si="202"/>
        <v>E4.P_B</v>
      </c>
      <c r="G278" s="409" t="s">
        <v>402</v>
      </c>
      <c r="H278" s="409" t="s">
        <v>572</v>
      </c>
      <c r="I278" s="442"/>
      <c r="J278" s="284" t="s">
        <v>61</v>
      </c>
      <c r="K278" s="285" t="str">
        <f t="shared" si="203"/>
        <v>E4.P_B.MR1</v>
      </c>
      <c r="L278" s="511" t="s">
        <v>554</v>
      </c>
      <c r="M278" s="512" t="s">
        <v>1539</v>
      </c>
      <c r="N278" s="374">
        <v>4</v>
      </c>
      <c r="O278" s="288">
        <v>6</v>
      </c>
      <c r="P278" s="376" t="s">
        <v>112</v>
      </c>
      <c r="Q278" s="377" t="str">
        <f t="shared" si="204"/>
        <v>E4.P_B.MR1-MP04-1</v>
      </c>
      <c r="R278" s="420" t="s">
        <v>1551</v>
      </c>
      <c r="S278" s="314" t="s">
        <v>1552</v>
      </c>
      <c r="T278" s="293">
        <v>0</v>
      </c>
      <c r="U278" s="294">
        <v>1</v>
      </c>
      <c r="V278" s="293" t="s">
        <v>67</v>
      </c>
      <c r="W278" s="295">
        <v>0</v>
      </c>
      <c r="X278" s="322">
        <v>0.56999999999999995</v>
      </c>
      <c r="Y278" s="315">
        <v>0.2</v>
      </c>
      <c r="Z278" s="323">
        <v>0.23</v>
      </c>
      <c r="AA278" s="298"/>
      <c r="AB278" s="299"/>
      <c r="AC278" s="299"/>
      <c r="AD278" s="299"/>
      <c r="AE278" s="299"/>
      <c r="AF278" s="299"/>
      <c r="AG278" s="299"/>
      <c r="AH278" s="299"/>
      <c r="AI278" s="299"/>
      <c r="AJ278" s="299"/>
      <c r="AK278" s="299"/>
      <c r="AL278" s="299"/>
      <c r="AM278" s="299"/>
      <c r="AN278" s="299"/>
      <c r="AO278" s="299"/>
      <c r="AP278" s="299"/>
      <c r="AQ278" s="299"/>
      <c r="AR278" s="299"/>
      <c r="AS278" s="299"/>
      <c r="AT278" s="299"/>
      <c r="AU278" s="299"/>
      <c r="AV278" s="299"/>
      <c r="AW278" s="299"/>
      <c r="AX278" s="299"/>
      <c r="AY278" s="299"/>
      <c r="AZ278" s="299"/>
      <c r="BA278" s="299"/>
      <c r="BB278" s="299"/>
      <c r="BC278" s="300"/>
      <c r="BD278" s="301"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8" t="s">
        <v>1551</v>
      </c>
      <c r="EN278" s="274" t="s">
        <v>1552</v>
      </c>
      <c r="EO278" s="274">
        <v>0</v>
      </c>
      <c r="EP278" s="274">
        <v>1</v>
      </c>
      <c r="EQ278" s="275">
        <v>0</v>
      </c>
      <c r="ER278" s="329">
        <v>0.56999999999999995</v>
      </c>
      <c r="ES278" s="276">
        <v>0.2</v>
      </c>
      <c r="ET278" s="825">
        <v>0.23</v>
      </c>
    </row>
    <row r="279" spans="1:150" ht="39" customHeight="1" x14ac:dyDescent="0.2">
      <c r="A279" s="767" t="s">
        <v>103</v>
      </c>
      <c r="B279" s="428" t="s">
        <v>104</v>
      </c>
      <c r="C279" s="429" t="s">
        <v>1452</v>
      </c>
      <c r="D279" s="429"/>
      <c r="E279" s="8" t="s">
        <v>372</v>
      </c>
      <c r="F279" s="647" t="str">
        <f t="shared" si="202"/>
        <v>E4.P_B</v>
      </c>
      <c r="G279" s="409" t="s">
        <v>402</v>
      </c>
      <c r="H279" s="409" t="s">
        <v>572</v>
      </c>
      <c r="I279" s="442"/>
      <c r="J279" s="284" t="s">
        <v>61</v>
      </c>
      <c r="K279" s="285" t="str">
        <f t="shared" si="203"/>
        <v>E4.P_B.MR1</v>
      </c>
      <c r="L279" s="511" t="s">
        <v>554</v>
      </c>
      <c r="M279" s="512" t="s">
        <v>1539</v>
      </c>
      <c r="N279" s="374">
        <v>4</v>
      </c>
      <c r="O279" s="288">
        <v>6</v>
      </c>
      <c r="P279" s="376" t="s">
        <v>122</v>
      </c>
      <c r="Q279" s="377" t="str">
        <f t="shared" si="204"/>
        <v>E4.P_B.MR1-MP05-1</v>
      </c>
      <c r="R279" s="420" t="s">
        <v>1555</v>
      </c>
      <c r="S279" s="314" t="s">
        <v>1556</v>
      </c>
      <c r="T279" s="293">
        <v>0</v>
      </c>
      <c r="U279" s="320">
        <v>0.5</v>
      </c>
      <c r="V279" s="319" t="s">
        <v>67</v>
      </c>
      <c r="W279" s="295">
        <v>0</v>
      </c>
      <c r="X279" s="322">
        <v>0.33</v>
      </c>
      <c r="Y279" s="321">
        <v>0.33</v>
      </c>
      <c r="Z279" s="323">
        <v>0.34</v>
      </c>
      <c r="AA279" s="324"/>
      <c r="AB279" s="325"/>
      <c r="AC279" s="325"/>
      <c r="AD279" s="325"/>
      <c r="AE279" s="325"/>
      <c r="AF279" s="325"/>
      <c r="AG279" s="325"/>
      <c r="AH279" s="325"/>
      <c r="AI279" s="325"/>
      <c r="AJ279" s="325"/>
      <c r="AK279" s="325"/>
      <c r="AL279" s="325"/>
      <c r="AM279" s="325"/>
      <c r="AN279" s="325"/>
      <c r="AO279" s="325"/>
      <c r="AP279" s="325"/>
      <c r="AQ279" s="325"/>
      <c r="AR279" s="325"/>
      <c r="AS279" s="325"/>
      <c r="AT279" s="325"/>
      <c r="AU279" s="325"/>
      <c r="AV279" s="325"/>
      <c r="AW279" s="325"/>
      <c r="AX279" s="325"/>
      <c r="AY279" s="325"/>
      <c r="AZ279" s="325"/>
      <c r="BA279" s="325"/>
      <c r="BB279" s="325"/>
      <c r="BC279" s="326"/>
      <c r="BD279" s="301"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8" t="s">
        <v>1555</v>
      </c>
      <c r="EN279" s="274" t="s">
        <v>1556</v>
      </c>
      <c r="EO279" s="274">
        <v>0</v>
      </c>
      <c r="EP279" s="488">
        <v>50</v>
      </c>
      <c r="EQ279" s="806">
        <v>0</v>
      </c>
      <c r="ER279" s="809">
        <v>10</v>
      </c>
      <c r="ES279" s="809">
        <v>20</v>
      </c>
      <c r="ET279" s="847">
        <v>20</v>
      </c>
    </row>
    <row r="280" spans="1:150" ht="39.75" customHeight="1" thickBot="1" x14ac:dyDescent="0.25">
      <c r="A280" s="767" t="s">
        <v>103</v>
      </c>
      <c r="B280" s="428" t="s">
        <v>104</v>
      </c>
      <c r="C280" s="429" t="s">
        <v>1452</v>
      </c>
      <c r="D280" s="429"/>
      <c r="E280" s="8" t="s">
        <v>372</v>
      </c>
      <c r="F280" s="647" t="str">
        <f t="shared" si="202"/>
        <v>E4.P_B</v>
      </c>
      <c r="G280" s="425" t="s">
        <v>402</v>
      </c>
      <c r="H280" s="425" t="s">
        <v>572</v>
      </c>
      <c r="I280" s="446"/>
      <c r="J280" s="340" t="s">
        <v>61</v>
      </c>
      <c r="K280" s="400" t="str">
        <f t="shared" si="203"/>
        <v>E4.P_B.MR1</v>
      </c>
      <c r="L280" s="547" t="s">
        <v>554</v>
      </c>
      <c r="M280" s="548" t="s">
        <v>1539</v>
      </c>
      <c r="N280" s="388">
        <v>4</v>
      </c>
      <c r="O280" s="426">
        <v>6</v>
      </c>
      <c r="P280" s="390" t="s">
        <v>132</v>
      </c>
      <c r="Q280" s="391" t="str">
        <f t="shared" si="204"/>
        <v>E4.P_B.MR1-MP06-1</v>
      </c>
      <c r="R280" s="427" t="s">
        <v>1559</v>
      </c>
      <c r="S280" s="349" t="s">
        <v>1560</v>
      </c>
      <c r="T280" s="350">
        <v>0</v>
      </c>
      <c r="U280" s="560">
        <v>1</v>
      </c>
      <c r="V280" s="559" t="s">
        <v>67</v>
      </c>
      <c r="W280" s="394">
        <v>0.17</v>
      </c>
      <c r="X280" s="620">
        <v>0.5</v>
      </c>
      <c r="Y280" s="394">
        <v>0.17</v>
      </c>
      <c r="Z280" s="396">
        <v>0.16</v>
      </c>
      <c r="AA280" s="324"/>
      <c r="AB280" s="325"/>
      <c r="AC280" s="325"/>
      <c r="AD280" s="325"/>
      <c r="AE280" s="325"/>
      <c r="AF280" s="325"/>
      <c r="AG280" s="325"/>
      <c r="AH280" s="325"/>
      <c r="AI280" s="325"/>
      <c r="AJ280" s="325"/>
      <c r="AK280" s="325"/>
      <c r="AL280" s="325"/>
      <c r="AM280" s="325"/>
      <c r="AN280" s="325"/>
      <c r="AO280" s="325"/>
      <c r="AP280" s="325"/>
      <c r="AQ280" s="325"/>
      <c r="AR280" s="325"/>
      <c r="AS280" s="325"/>
      <c r="AT280" s="325"/>
      <c r="AU280" s="325"/>
      <c r="AV280" s="325"/>
      <c r="AW280" s="325"/>
      <c r="AX280" s="325"/>
      <c r="AY280" s="325"/>
      <c r="AZ280" s="325"/>
      <c r="BA280" s="325"/>
      <c r="BB280" s="325"/>
      <c r="BC280" s="326"/>
      <c r="BD280" s="301"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8" t="s">
        <v>1559</v>
      </c>
      <c r="EN280" s="274" t="s">
        <v>1560</v>
      </c>
      <c r="EO280" s="274">
        <v>0</v>
      </c>
      <c r="EP280" s="329">
        <v>100</v>
      </c>
      <c r="EQ280" s="329">
        <v>17</v>
      </c>
      <c r="ER280" s="276">
        <v>50</v>
      </c>
      <c r="ES280" s="329">
        <v>17</v>
      </c>
      <c r="ET280" s="825">
        <v>16</v>
      </c>
    </row>
    <row r="281" spans="1:150" ht="104.25" customHeight="1" x14ac:dyDescent="0.2">
      <c r="A281" s="767" t="s">
        <v>103</v>
      </c>
      <c r="B281" s="428" t="s">
        <v>104</v>
      </c>
      <c r="C281" s="429" t="s">
        <v>1452</v>
      </c>
      <c r="D281" s="430" t="s">
        <v>1563</v>
      </c>
      <c r="E281" s="3" t="s">
        <v>530</v>
      </c>
      <c r="F281" s="431" t="str">
        <f t="shared" si="202"/>
        <v>E4.P_C</v>
      </c>
      <c r="G281" s="432" t="s">
        <v>413</v>
      </c>
      <c r="H281" s="477" t="s">
        <v>581</v>
      </c>
      <c r="I281" s="811" t="s">
        <v>1564</v>
      </c>
      <c r="J281" s="434" t="s">
        <v>61</v>
      </c>
      <c r="K281" s="398" t="str">
        <f t="shared" si="203"/>
        <v>E4.P_C.MR1</v>
      </c>
      <c r="L281" s="360" t="s">
        <v>561</v>
      </c>
      <c r="M281" s="361" t="s">
        <v>1565</v>
      </c>
      <c r="N281" s="362">
        <v>13959</v>
      </c>
      <c r="O281" s="247">
        <v>15355</v>
      </c>
      <c r="P281" s="364" t="s">
        <v>64</v>
      </c>
      <c r="Q281" s="785" t="str">
        <f t="shared" si="204"/>
        <v>E4.P_C.MR1-MP01-1</v>
      </c>
      <c r="R281" s="505" t="s">
        <v>1566</v>
      </c>
      <c r="S281" s="506" t="s">
        <v>1567</v>
      </c>
      <c r="T281" s="368">
        <v>32</v>
      </c>
      <c r="U281" s="369">
        <v>32</v>
      </c>
      <c r="V281" s="368" t="s">
        <v>102</v>
      </c>
      <c r="W281" s="255">
        <v>32</v>
      </c>
      <c r="X281" s="370">
        <v>32</v>
      </c>
      <c r="Y281" s="255">
        <v>32</v>
      </c>
      <c r="Z281" s="371">
        <v>32</v>
      </c>
      <c r="AA281" s="589">
        <f>26000000</f>
        <v>26000000</v>
      </c>
      <c r="AB281" s="590">
        <v>0</v>
      </c>
      <c r="AC281" s="590">
        <v>100000000</v>
      </c>
      <c r="AD281" s="590">
        <v>0</v>
      </c>
      <c r="AE281" s="590">
        <v>0</v>
      </c>
      <c r="AF281" s="590">
        <v>0</v>
      </c>
      <c r="AG281" s="590">
        <f t="shared" ref="AG281" si="209">SUM(AA281:AF281)</f>
        <v>126000000</v>
      </c>
      <c r="AH281" s="590">
        <f t="shared" ref="AH281:AM281" si="210">AA281*1.035</f>
        <v>26909999.999999996</v>
      </c>
      <c r="AI281" s="590">
        <f t="shared" si="210"/>
        <v>0</v>
      </c>
      <c r="AJ281" s="590">
        <f t="shared" si="210"/>
        <v>103499999.99999999</v>
      </c>
      <c r="AK281" s="590">
        <f t="shared" si="210"/>
        <v>0</v>
      </c>
      <c r="AL281" s="590">
        <f t="shared" si="210"/>
        <v>0</v>
      </c>
      <c r="AM281" s="590">
        <f t="shared" si="210"/>
        <v>0</v>
      </c>
      <c r="AN281" s="590">
        <f t="shared" ref="AN281" si="211">SUM(AH281:AM281)</f>
        <v>130409999.99999999</v>
      </c>
      <c r="AO281" s="590">
        <f t="shared" ref="AO281:BA281" si="212">AH281*1.035</f>
        <v>27851849.999999993</v>
      </c>
      <c r="AP281" s="590">
        <f t="shared" si="212"/>
        <v>0</v>
      </c>
      <c r="AQ281" s="590">
        <f t="shared" si="212"/>
        <v>107122499.99999997</v>
      </c>
      <c r="AR281" s="590">
        <f t="shared" si="212"/>
        <v>0</v>
      </c>
      <c r="AS281" s="590">
        <f t="shared" si="212"/>
        <v>0</v>
      </c>
      <c r="AT281" s="590">
        <f t="shared" si="212"/>
        <v>0</v>
      </c>
      <c r="AU281" s="590">
        <f t="shared" si="212"/>
        <v>134974349.99999997</v>
      </c>
      <c r="AV281" s="590">
        <f t="shared" si="212"/>
        <v>28826664.749999989</v>
      </c>
      <c r="AW281" s="590">
        <f t="shared" si="212"/>
        <v>0</v>
      </c>
      <c r="AX281" s="590">
        <f t="shared" si="212"/>
        <v>110871787.49999996</v>
      </c>
      <c r="AY281" s="590">
        <f t="shared" si="212"/>
        <v>0</v>
      </c>
      <c r="AZ281" s="590">
        <f t="shared" si="212"/>
        <v>0</v>
      </c>
      <c r="BA281" s="590">
        <f t="shared" si="212"/>
        <v>0</v>
      </c>
      <c r="BB281" s="590">
        <f t="shared" ref="BB281" si="213">SUM(AV281:BA281)</f>
        <v>139698452.24999994</v>
      </c>
      <c r="BC281" s="658">
        <f t="shared" ref="BC281" si="214">+BB281+AU281+AN281+AG281</f>
        <v>531082802.24999988</v>
      </c>
      <c r="BD281" s="301"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8" t="s">
        <v>1566</v>
      </c>
      <c r="EN281" s="274" t="s">
        <v>1567</v>
      </c>
      <c r="EO281" s="274">
        <v>32</v>
      </c>
      <c r="EP281" s="274">
        <v>32</v>
      </c>
      <c r="EQ281" s="275">
        <v>32</v>
      </c>
      <c r="ER281" s="275">
        <v>32</v>
      </c>
      <c r="ES281" s="275">
        <v>32</v>
      </c>
      <c r="ET281" s="826">
        <v>32</v>
      </c>
    </row>
    <row r="282" spans="1:150" ht="57" customHeight="1" thickBot="1" x14ac:dyDescent="0.25">
      <c r="A282" s="767" t="s">
        <v>103</v>
      </c>
      <c r="B282" s="428" t="s">
        <v>104</v>
      </c>
      <c r="C282" s="429" t="s">
        <v>1452</v>
      </c>
      <c r="D282" s="429"/>
      <c r="E282" s="8" t="s">
        <v>530</v>
      </c>
      <c r="F282" s="281" t="str">
        <f t="shared" si="202"/>
        <v>E4.P_C</v>
      </c>
      <c r="G282" s="564" t="s">
        <v>413</v>
      </c>
      <c r="H282" s="564" t="s">
        <v>581</v>
      </c>
      <c r="I282" s="446"/>
      <c r="J282" s="340" t="s">
        <v>61</v>
      </c>
      <c r="K282" s="400" t="str">
        <f t="shared" si="203"/>
        <v>E4.P_C.MR1</v>
      </c>
      <c r="L282" s="424" t="s">
        <v>561</v>
      </c>
      <c r="M282" s="425" t="s">
        <v>1565</v>
      </c>
      <c r="N282" s="388">
        <v>13959</v>
      </c>
      <c r="O282" s="426">
        <v>15355</v>
      </c>
      <c r="P282" s="390" t="s">
        <v>87</v>
      </c>
      <c r="Q282" s="391" t="str">
        <f t="shared" si="204"/>
        <v>E4.P_C.MR1-MP02-1</v>
      </c>
      <c r="R282" s="475" t="s">
        <v>1570</v>
      </c>
      <c r="S282" s="337" t="s">
        <v>1571</v>
      </c>
      <c r="T282" s="350">
        <v>4</v>
      </c>
      <c r="U282" s="351">
        <v>5</v>
      </c>
      <c r="V282" s="350" t="s">
        <v>67</v>
      </c>
      <c r="W282" s="352">
        <v>1</v>
      </c>
      <c r="X282" s="353">
        <v>1</v>
      </c>
      <c r="Y282" s="352">
        <v>1</v>
      </c>
      <c r="Z282" s="354">
        <v>1</v>
      </c>
      <c r="AA282" s="298"/>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299"/>
      <c r="BA282" s="299"/>
      <c r="BB282" s="299"/>
      <c r="BC282" s="300"/>
      <c r="BD282" s="301"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8" t="s">
        <v>1570</v>
      </c>
      <c r="EN282" s="274" t="s">
        <v>1571</v>
      </c>
      <c r="EO282" s="646">
        <v>4</v>
      </c>
      <c r="EP282" s="807">
        <v>5</v>
      </c>
      <c r="EQ282" s="806">
        <v>1</v>
      </c>
      <c r="ER282" s="806">
        <v>1</v>
      </c>
      <c r="ES282" s="806">
        <v>2</v>
      </c>
      <c r="ET282" s="836">
        <v>1</v>
      </c>
    </row>
    <row r="283" spans="1:150" ht="123.75" customHeight="1" x14ac:dyDescent="0.2">
      <c r="A283" s="767" t="s">
        <v>103</v>
      </c>
      <c r="B283" s="428" t="s">
        <v>104</v>
      </c>
      <c r="C283" s="429" t="s">
        <v>1452</v>
      </c>
      <c r="D283" s="430" t="s">
        <v>1174</v>
      </c>
      <c r="E283" s="3" t="s">
        <v>641</v>
      </c>
      <c r="F283" s="431" t="str">
        <f t="shared" si="202"/>
        <v>E4.P_D</v>
      </c>
      <c r="G283" s="432" t="s">
        <v>424</v>
      </c>
      <c r="H283" s="477" t="s">
        <v>589</v>
      </c>
      <c r="I283" s="811" t="s">
        <v>1574</v>
      </c>
      <c r="J283" s="434" t="s">
        <v>61</v>
      </c>
      <c r="K283" s="398" t="str">
        <f t="shared" si="203"/>
        <v>E4.P_D.MR1</v>
      </c>
      <c r="L283" s="360" t="s">
        <v>568</v>
      </c>
      <c r="M283" s="361" t="s">
        <v>1575</v>
      </c>
      <c r="N283" s="479">
        <v>1</v>
      </c>
      <c r="O283" s="479">
        <v>4</v>
      </c>
      <c r="P283" s="643" t="s">
        <v>64</v>
      </c>
      <c r="Q283" s="643" t="str">
        <f t="shared" si="204"/>
        <v>E4.P_D.MR1-MP01-1</v>
      </c>
      <c r="R283" s="621" t="s">
        <v>1576</v>
      </c>
      <c r="S283" s="519" t="s">
        <v>1577</v>
      </c>
      <c r="T283" s="520">
        <v>1</v>
      </c>
      <c r="U283" s="521">
        <v>1</v>
      </c>
      <c r="V283" s="520" t="s">
        <v>102</v>
      </c>
      <c r="W283" s="624">
        <v>0.5</v>
      </c>
      <c r="X283" s="625">
        <v>0.5</v>
      </c>
      <c r="Y283" s="522">
        <v>0</v>
      </c>
      <c r="Z283" s="668">
        <v>0</v>
      </c>
      <c r="AA283" s="589">
        <v>1364481705</v>
      </c>
      <c r="AB283" s="590">
        <v>0</v>
      </c>
      <c r="AC283" s="590">
        <v>100000000</v>
      </c>
      <c r="AD283" s="590">
        <v>0</v>
      </c>
      <c r="AE283" s="590">
        <v>0</v>
      </c>
      <c r="AF283" s="590">
        <v>420419925</v>
      </c>
      <c r="AG283" s="590">
        <f t="shared" ref="AG283" si="215">SUM(AA283:AF283)</f>
        <v>1884901630</v>
      </c>
      <c r="AH283" s="590">
        <v>1412238564.675</v>
      </c>
      <c r="AI283" s="590">
        <v>0</v>
      </c>
      <c r="AJ283" s="590">
        <v>103499999.99999999</v>
      </c>
      <c r="AK283" s="590">
        <v>0</v>
      </c>
      <c r="AL283" s="590">
        <v>0</v>
      </c>
      <c r="AM283" s="590">
        <f>+AF283*1.035</f>
        <v>435134622.37499994</v>
      </c>
      <c r="AN283" s="590">
        <f t="shared" ref="AN283" si="216">SUM(AH283:AM283)</f>
        <v>1950873187.05</v>
      </c>
      <c r="AO283" s="590">
        <v>1461666914.4386249</v>
      </c>
      <c r="AP283" s="590">
        <v>0</v>
      </c>
      <c r="AQ283" s="590">
        <v>107122499.99999997</v>
      </c>
      <c r="AR283" s="590">
        <v>0</v>
      </c>
      <c r="AS283" s="590">
        <v>0</v>
      </c>
      <c r="AT283" s="590">
        <f>+AM283*1.035</f>
        <v>450364334.15812492</v>
      </c>
      <c r="AU283" s="590">
        <f t="shared" ref="AU283" si="217">AN283*1.035</f>
        <v>2019153748.5967498</v>
      </c>
      <c r="AV283" s="590">
        <v>1512825256.4439769</v>
      </c>
      <c r="AW283" s="590">
        <v>0</v>
      </c>
      <c r="AX283" s="590">
        <v>110871787.49999996</v>
      </c>
      <c r="AY283" s="590">
        <v>0</v>
      </c>
      <c r="AZ283" s="590">
        <v>0</v>
      </c>
      <c r="BA283" s="590">
        <f>+AT283*1.035</f>
        <v>466127085.85365927</v>
      </c>
      <c r="BB283" s="590">
        <f t="shared" ref="BB283" si="218">SUM(AV283:BA283)</f>
        <v>2089824129.797636</v>
      </c>
      <c r="BC283" s="658">
        <f t="shared" ref="BC283" si="219">+BB283+AU283+AN283+AG283</f>
        <v>7944752695.4443855</v>
      </c>
      <c r="BD283" s="301"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8" t="s">
        <v>1576</v>
      </c>
      <c r="EN283" s="274" t="s">
        <v>1577</v>
      </c>
      <c r="EO283" s="274">
        <v>1</v>
      </c>
      <c r="EP283" s="274">
        <v>1</v>
      </c>
      <c r="EQ283" s="276">
        <v>0.5</v>
      </c>
      <c r="ER283" s="815">
        <v>0</v>
      </c>
      <c r="ES283" s="275">
        <v>0</v>
      </c>
      <c r="ET283" s="824">
        <v>0.5</v>
      </c>
    </row>
    <row r="284" spans="1:150" ht="39" customHeight="1" x14ac:dyDescent="0.2">
      <c r="A284" s="767" t="s">
        <v>103</v>
      </c>
      <c r="B284" s="428" t="s">
        <v>104</v>
      </c>
      <c r="C284" s="429" t="s">
        <v>1452</v>
      </c>
      <c r="D284" s="429"/>
      <c r="E284" s="8" t="s">
        <v>641</v>
      </c>
      <c r="F284" s="281" t="str">
        <f t="shared" si="202"/>
        <v>E4.P_D</v>
      </c>
      <c r="G284" s="452" t="s">
        <v>424</v>
      </c>
      <c r="H284" s="452" t="s">
        <v>589</v>
      </c>
      <c r="I284" s="442"/>
      <c r="J284" s="284" t="s">
        <v>61</v>
      </c>
      <c r="K284" s="285" t="str">
        <f t="shared" si="203"/>
        <v>E4.P_D.MR1</v>
      </c>
      <c r="L284" s="511" t="s">
        <v>568</v>
      </c>
      <c r="M284" s="512" t="s">
        <v>1575</v>
      </c>
      <c r="N284" s="491">
        <v>1</v>
      </c>
      <c r="O284" s="491">
        <v>4</v>
      </c>
      <c r="P284" s="492" t="s">
        <v>74</v>
      </c>
      <c r="Q284" s="492" t="str">
        <f t="shared" si="204"/>
        <v>E4.P_D.MR1-MP01-2</v>
      </c>
      <c r="R284" s="627" t="s">
        <v>1576</v>
      </c>
      <c r="S284" s="528" t="s">
        <v>1581</v>
      </c>
      <c r="T284" s="529">
        <v>1</v>
      </c>
      <c r="U284" s="530">
        <v>1</v>
      </c>
      <c r="V284" s="529" t="s">
        <v>102</v>
      </c>
      <c r="W284" s="533">
        <v>0</v>
      </c>
      <c r="X284" s="674">
        <v>1</v>
      </c>
      <c r="Y284" s="533">
        <v>0</v>
      </c>
      <c r="Z284" s="534">
        <v>0</v>
      </c>
      <c r="AA284" s="535"/>
      <c r="AB284" s="536"/>
      <c r="AC284" s="536"/>
      <c r="AD284" s="536"/>
      <c r="AE284" s="536"/>
      <c r="AF284" s="536"/>
      <c r="AG284" s="536"/>
      <c r="AH284" s="536"/>
      <c r="AI284" s="536"/>
      <c r="AJ284" s="536"/>
      <c r="AK284" s="536"/>
      <c r="AL284" s="536"/>
      <c r="AM284" s="536"/>
      <c r="AN284" s="536"/>
      <c r="AO284" s="536"/>
      <c r="AP284" s="536"/>
      <c r="AQ284" s="536"/>
      <c r="AR284" s="536"/>
      <c r="AS284" s="536"/>
      <c r="AT284" s="536"/>
      <c r="AU284" s="536"/>
      <c r="AV284" s="536"/>
      <c r="AW284" s="536"/>
      <c r="AX284" s="536"/>
      <c r="AY284" s="536"/>
      <c r="AZ284" s="536"/>
      <c r="BA284" s="536"/>
      <c r="BB284" s="536"/>
      <c r="BC284" s="537"/>
      <c r="BD284" s="301"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8" t="s">
        <v>1576</v>
      </c>
      <c r="EN284" s="274" t="s">
        <v>1581</v>
      </c>
      <c r="EO284" s="274">
        <v>1</v>
      </c>
      <c r="EP284" s="807">
        <v>1</v>
      </c>
      <c r="EQ284" s="806">
        <v>0</v>
      </c>
      <c r="ER284" s="814">
        <v>0</v>
      </c>
      <c r="ES284" s="806">
        <v>0</v>
      </c>
      <c r="ET284" s="830">
        <v>1</v>
      </c>
    </row>
    <row r="285" spans="1:150" ht="48.75" customHeight="1" x14ac:dyDescent="0.2">
      <c r="A285" s="767" t="s">
        <v>103</v>
      </c>
      <c r="B285" s="428" t="s">
        <v>104</v>
      </c>
      <c r="C285" s="429" t="s">
        <v>1452</v>
      </c>
      <c r="D285" s="429"/>
      <c r="E285" s="8" t="s">
        <v>641</v>
      </c>
      <c r="F285" s="281" t="str">
        <f t="shared" si="202"/>
        <v>E4.P_D</v>
      </c>
      <c r="G285" s="452" t="s">
        <v>424</v>
      </c>
      <c r="H285" s="452" t="s">
        <v>589</v>
      </c>
      <c r="I285" s="442"/>
      <c r="J285" s="284" t="s">
        <v>61</v>
      </c>
      <c r="K285" s="285" t="str">
        <f t="shared" si="203"/>
        <v>E4.P_D.MR1</v>
      </c>
      <c r="L285" s="511" t="s">
        <v>568</v>
      </c>
      <c r="M285" s="512" t="s">
        <v>1575</v>
      </c>
      <c r="N285" s="491">
        <v>1</v>
      </c>
      <c r="O285" s="491">
        <v>4</v>
      </c>
      <c r="P285" s="492" t="s">
        <v>87</v>
      </c>
      <c r="Q285" s="492" t="str">
        <f t="shared" si="204"/>
        <v>E4.P_D.MR1-MP02-1</v>
      </c>
      <c r="R285" s="527" t="s">
        <v>1584</v>
      </c>
      <c r="S285" s="694" t="s">
        <v>1585</v>
      </c>
      <c r="T285" s="739">
        <v>0.5</v>
      </c>
      <c r="U285" s="670">
        <v>1</v>
      </c>
      <c r="V285" s="669" t="s">
        <v>67</v>
      </c>
      <c r="W285" s="533">
        <v>0</v>
      </c>
      <c r="X285" s="532">
        <v>0.5</v>
      </c>
      <c r="Y285" s="544">
        <v>0.25</v>
      </c>
      <c r="Z285" s="546">
        <v>0.25</v>
      </c>
      <c r="AA285" s="671"/>
      <c r="AB285" s="672"/>
      <c r="AC285" s="672"/>
      <c r="AD285" s="672"/>
      <c r="AE285" s="672"/>
      <c r="AF285" s="672"/>
      <c r="AG285" s="672"/>
      <c r="AH285" s="672"/>
      <c r="AI285" s="672"/>
      <c r="AJ285" s="672"/>
      <c r="AK285" s="672"/>
      <c r="AL285" s="672"/>
      <c r="AM285" s="672"/>
      <c r="AN285" s="672"/>
      <c r="AO285" s="672"/>
      <c r="AP285" s="672"/>
      <c r="AQ285" s="672"/>
      <c r="AR285" s="672"/>
      <c r="AS285" s="672"/>
      <c r="AT285" s="672"/>
      <c r="AU285" s="672"/>
      <c r="AV285" s="672"/>
      <c r="AW285" s="672"/>
      <c r="AX285" s="672"/>
      <c r="AY285" s="672"/>
      <c r="AZ285" s="672"/>
      <c r="BA285" s="672"/>
      <c r="BB285" s="672"/>
      <c r="BC285" s="673"/>
      <c r="BD285" s="301"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3" t="s">
        <v>1585</v>
      </c>
      <c r="EO285" s="651">
        <v>0.5</v>
      </c>
      <c r="EP285" s="385">
        <v>1</v>
      </c>
      <c r="EQ285" s="275">
        <v>0</v>
      </c>
      <c r="ER285" s="276">
        <v>0.5</v>
      </c>
      <c r="ES285" s="329">
        <v>0.25</v>
      </c>
      <c r="ET285" s="825">
        <v>0.25</v>
      </c>
    </row>
    <row r="286" spans="1:150" ht="50.25" customHeight="1" x14ac:dyDescent="0.2">
      <c r="A286" s="767" t="s">
        <v>103</v>
      </c>
      <c r="B286" s="428" t="s">
        <v>104</v>
      </c>
      <c r="C286" s="429" t="s">
        <v>1452</v>
      </c>
      <c r="D286" s="429"/>
      <c r="E286" s="8" t="s">
        <v>641</v>
      </c>
      <c r="F286" s="281" t="str">
        <f t="shared" si="202"/>
        <v>E4.P_D</v>
      </c>
      <c r="G286" s="452" t="s">
        <v>424</v>
      </c>
      <c r="H286" s="452" t="s">
        <v>589</v>
      </c>
      <c r="I286" s="442"/>
      <c r="J286" s="284" t="s">
        <v>61</v>
      </c>
      <c r="K286" s="285" t="str">
        <f t="shared" si="203"/>
        <v>E4.P_D.MR1</v>
      </c>
      <c r="L286" s="511" t="s">
        <v>568</v>
      </c>
      <c r="M286" s="512" t="s">
        <v>1575</v>
      </c>
      <c r="N286" s="491">
        <v>1</v>
      </c>
      <c r="O286" s="491">
        <v>4</v>
      </c>
      <c r="P286" s="492" t="s">
        <v>1271</v>
      </c>
      <c r="Q286" s="492" t="str">
        <f t="shared" si="204"/>
        <v>E4.P_D.MR1-MP02-2</v>
      </c>
      <c r="R286" s="527" t="s">
        <v>1584</v>
      </c>
      <c r="S286" s="694" t="s">
        <v>1588</v>
      </c>
      <c r="T286" s="529">
        <v>0.7</v>
      </c>
      <c r="U286" s="530">
        <v>1</v>
      </c>
      <c r="V286" s="529" t="s">
        <v>67</v>
      </c>
      <c r="W286" s="531">
        <v>0.5</v>
      </c>
      <c r="X286" s="532">
        <v>0.5</v>
      </c>
      <c r="Y286" s="533">
        <v>0</v>
      </c>
      <c r="Z286" s="534">
        <v>0</v>
      </c>
      <c r="AA286" s="535"/>
      <c r="AB286" s="536"/>
      <c r="AC286" s="536"/>
      <c r="AD286" s="536"/>
      <c r="AE286" s="536"/>
      <c r="AF286" s="536"/>
      <c r="AG286" s="536"/>
      <c r="AH286" s="536"/>
      <c r="AI286" s="536"/>
      <c r="AJ286" s="536"/>
      <c r="AK286" s="536"/>
      <c r="AL286" s="536"/>
      <c r="AM286" s="536"/>
      <c r="AN286" s="536"/>
      <c r="AO286" s="536"/>
      <c r="AP286" s="536"/>
      <c r="AQ286" s="536"/>
      <c r="AR286" s="536"/>
      <c r="AS286" s="536"/>
      <c r="AT286" s="536"/>
      <c r="AU286" s="536"/>
      <c r="AV286" s="536"/>
      <c r="AW286" s="536"/>
      <c r="AX286" s="536"/>
      <c r="AY286" s="536"/>
      <c r="AZ286" s="536"/>
      <c r="BA286" s="536"/>
      <c r="BB286" s="536"/>
      <c r="BC286" s="537"/>
      <c r="BD286" s="301"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3" t="s">
        <v>1588</v>
      </c>
      <c r="EO286" s="274">
        <v>0.7</v>
      </c>
      <c r="EP286" s="274">
        <v>1</v>
      </c>
      <c r="EQ286" s="276">
        <v>0.5</v>
      </c>
      <c r="ER286" s="816">
        <v>0.25</v>
      </c>
      <c r="ES286" s="816">
        <v>0.25</v>
      </c>
      <c r="ET286" s="826">
        <v>0</v>
      </c>
    </row>
    <row r="287" spans="1:150" ht="37.5" customHeight="1" x14ac:dyDescent="0.2">
      <c r="A287" s="767" t="s">
        <v>103</v>
      </c>
      <c r="B287" s="428" t="s">
        <v>104</v>
      </c>
      <c r="C287" s="429" t="s">
        <v>1452</v>
      </c>
      <c r="D287" s="429"/>
      <c r="E287" s="8" t="s">
        <v>641</v>
      </c>
      <c r="F287" s="281" t="str">
        <f t="shared" si="202"/>
        <v>E4.P_D</v>
      </c>
      <c r="G287" s="452" t="s">
        <v>424</v>
      </c>
      <c r="H287" s="452" t="s">
        <v>589</v>
      </c>
      <c r="I287" s="442"/>
      <c r="J287" s="284" t="s">
        <v>61</v>
      </c>
      <c r="K287" s="285" t="str">
        <f t="shared" si="203"/>
        <v>E4.P_D.MR1</v>
      </c>
      <c r="L287" s="511" t="s">
        <v>568</v>
      </c>
      <c r="M287" s="512" t="s">
        <v>1575</v>
      </c>
      <c r="N287" s="491">
        <v>1</v>
      </c>
      <c r="O287" s="491">
        <v>4</v>
      </c>
      <c r="P287" s="492" t="s">
        <v>99</v>
      </c>
      <c r="Q287" s="492" t="str">
        <f t="shared" si="204"/>
        <v>E4.P_D.MR1-MP03-1</v>
      </c>
      <c r="R287" s="627" t="s">
        <v>1591</v>
      </c>
      <c r="S287" s="528" t="s">
        <v>1531</v>
      </c>
      <c r="T287" s="739">
        <v>0.5</v>
      </c>
      <c r="U287" s="670">
        <v>1</v>
      </c>
      <c r="V287" s="669" t="s">
        <v>67</v>
      </c>
      <c r="W287" s="544">
        <v>0.25</v>
      </c>
      <c r="X287" s="545">
        <v>0.25</v>
      </c>
      <c r="Y287" s="544">
        <v>0.25</v>
      </c>
      <c r="Z287" s="546">
        <v>0.25</v>
      </c>
      <c r="AA287" s="671"/>
      <c r="AB287" s="672"/>
      <c r="AC287" s="672"/>
      <c r="AD287" s="672"/>
      <c r="AE287" s="672"/>
      <c r="AF287" s="672"/>
      <c r="AG287" s="672"/>
      <c r="AH287" s="672"/>
      <c r="AI287" s="672"/>
      <c r="AJ287" s="672"/>
      <c r="AK287" s="672"/>
      <c r="AL287" s="672"/>
      <c r="AM287" s="672"/>
      <c r="AN287" s="672"/>
      <c r="AO287" s="672"/>
      <c r="AP287" s="672"/>
      <c r="AQ287" s="672"/>
      <c r="AR287" s="672"/>
      <c r="AS287" s="672"/>
      <c r="AT287" s="672"/>
      <c r="AU287" s="672"/>
      <c r="AV287" s="672"/>
      <c r="AW287" s="672"/>
      <c r="AX287" s="672"/>
      <c r="AY287" s="672"/>
      <c r="AZ287" s="672"/>
      <c r="BA287" s="672"/>
      <c r="BB287" s="672"/>
      <c r="BC287" s="673"/>
      <c r="BD287" s="301"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8" t="s">
        <v>1591</v>
      </c>
      <c r="EN287" s="274" t="s">
        <v>1531</v>
      </c>
      <c r="EO287" s="651">
        <v>0.5</v>
      </c>
      <c r="EP287" s="385">
        <v>1</v>
      </c>
      <c r="EQ287" s="329">
        <v>0.25</v>
      </c>
      <c r="ER287" s="329">
        <v>0.25</v>
      </c>
      <c r="ES287" s="329">
        <v>0.25</v>
      </c>
      <c r="ET287" s="825">
        <v>0.25</v>
      </c>
    </row>
    <row r="288" spans="1:150" ht="37.5" customHeight="1" x14ac:dyDescent="0.2">
      <c r="A288" s="767" t="s">
        <v>103</v>
      </c>
      <c r="B288" s="428" t="s">
        <v>104</v>
      </c>
      <c r="C288" s="429" t="s">
        <v>1452</v>
      </c>
      <c r="D288" s="429"/>
      <c r="E288" s="8" t="s">
        <v>641</v>
      </c>
      <c r="F288" s="281" t="str">
        <f t="shared" si="202"/>
        <v>E4.P_D</v>
      </c>
      <c r="G288" s="452" t="s">
        <v>424</v>
      </c>
      <c r="H288" s="452" t="s">
        <v>589</v>
      </c>
      <c r="I288" s="442"/>
      <c r="J288" s="284" t="s">
        <v>61</v>
      </c>
      <c r="K288" s="285" t="str">
        <f t="shared" si="203"/>
        <v>E4.P_D.MR1</v>
      </c>
      <c r="L288" s="511" t="s">
        <v>568</v>
      </c>
      <c r="M288" s="512" t="s">
        <v>1575</v>
      </c>
      <c r="N288" s="491">
        <v>1</v>
      </c>
      <c r="O288" s="491">
        <v>4</v>
      </c>
      <c r="P288" s="492" t="s">
        <v>112</v>
      </c>
      <c r="Q288" s="492" t="str">
        <f t="shared" si="204"/>
        <v>E4.P_D.MR1-MP04-1</v>
      </c>
      <c r="R288" s="527" t="s">
        <v>1594</v>
      </c>
      <c r="S288" s="694" t="s">
        <v>1595</v>
      </c>
      <c r="T288" s="669">
        <v>1</v>
      </c>
      <c r="U288" s="670">
        <v>4</v>
      </c>
      <c r="V288" s="669" t="s">
        <v>67</v>
      </c>
      <c r="W288" s="533">
        <v>1</v>
      </c>
      <c r="X288" s="674">
        <v>1</v>
      </c>
      <c r="Y288" s="533">
        <v>1</v>
      </c>
      <c r="Z288" s="534">
        <v>1</v>
      </c>
      <c r="AA288" s="671"/>
      <c r="AB288" s="672"/>
      <c r="AC288" s="672"/>
      <c r="AD288" s="672"/>
      <c r="AE288" s="672"/>
      <c r="AF288" s="672"/>
      <c r="AG288" s="672"/>
      <c r="AH288" s="672"/>
      <c r="AI288" s="672"/>
      <c r="AJ288" s="672"/>
      <c r="AK288" s="672"/>
      <c r="AL288" s="672"/>
      <c r="AM288" s="672"/>
      <c r="AN288" s="672"/>
      <c r="AO288" s="672"/>
      <c r="AP288" s="672"/>
      <c r="AQ288" s="672"/>
      <c r="AR288" s="672"/>
      <c r="AS288" s="672"/>
      <c r="AT288" s="672"/>
      <c r="AU288" s="672"/>
      <c r="AV288" s="672"/>
      <c r="AW288" s="672"/>
      <c r="AX288" s="672"/>
      <c r="AY288" s="672"/>
      <c r="AZ288" s="672"/>
      <c r="BA288" s="672"/>
      <c r="BB288" s="672"/>
      <c r="BC288" s="673"/>
      <c r="BD288" s="301"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3" t="s">
        <v>1595</v>
      </c>
      <c r="EO288" s="385">
        <v>1</v>
      </c>
      <c r="EP288" s="385">
        <v>4</v>
      </c>
      <c r="EQ288" s="275">
        <v>1</v>
      </c>
      <c r="ER288" s="275">
        <v>1</v>
      </c>
      <c r="ES288" s="275">
        <v>1</v>
      </c>
      <c r="ET288" s="826">
        <v>1</v>
      </c>
    </row>
    <row r="289" spans="1:150" ht="35.25" customHeight="1" x14ac:dyDescent="0.2">
      <c r="A289" s="767" t="s">
        <v>103</v>
      </c>
      <c r="B289" s="428" t="s">
        <v>104</v>
      </c>
      <c r="C289" s="429" t="s">
        <v>1452</v>
      </c>
      <c r="D289" s="429"/>
      <c r="E289" s="8" t="s">
        <v>641</v>
      </c>
      <c r="F289" s="281" t="str">
        <f t="shared" si="202"/>
        <v>E4.P_D</v>
      </c>
      <c r="G289" s="452" t="s">
        <v>424</v>
      </c>
      <c r="H289" s="452" t="s">
        <v>589</v>
      </c>
      <c r="I289" s="442"/>
      <c r="J289" s="284" t="s">
        <v>61</v>
      </c>
      <c r="K289" s="285" t="str">
        <f t="shared" si="203"/>
        <v>E4.P_D.MR1</v>
      </c>
      <c r="L289" s="511" t="s">
        <v>568</v>
      </c>
      <c r="M289" s="512" t="s">
        <v>1575</v>
      </c>
      <c r="N289" s="491">
        <v>1</v>
      </c>
      <c r="O289" s="491">
        <v>4</v>
      </c>
      <c r="P289" s="492" t="s">
        <v>1364</v>
      </c>
      <c r="Q289" s="492" t="str">
        <f t="shared" si="204"/>
        <v>E4.P_D.MR1-MP04-2</v>
      </c>
      <c r="R289" s="527" t="s">
        <v>1594</v>
      </c>
      <c r="S289" s="694" t="s">
        <v>1598</v>
      </c>
      <c r="T289" s="669">
        <v>1</v>
      </c>
      <c r="U289" s="670">
        <v>4</v>
      </c>
      <c r="V289" s="669" t="s">
        <v>67</v>
      </c>
      <c r="W289" s="533">
        <v>1</v>
      </c>
      <c r="X289" s="674">
        <v>1</v>
      </c>
      <c r="Y289" s="533">
        <v>1</v>
      </c>
      <c r="Z289" s="534">
        <v>1</v>
      </c>
      <c r="AA289" s="671"/>
      <c r="AB289" s="672"/>
      <c r="AC289" s="672"/>
      <c r="AD289" s="672"/>
      <c r="AE289" s="672"/>
      <c r="AF289" s="672"/>
      <c r="AG289" s="672"/>
      <c r="AH289" s="672"/>
      <c r="AI289" s="672"/>
      <c r="AJ289" s="672"/>
      <c r="AK289" s="672"/>
      <c r="AL289" s="672"/>
      <c r="AM289" s="672"/>
      <c r="AN289" s="672"/>
      <c r="AO289" s="672"/>
      <c r="AP289" s="672"/>
      <c r="AQ289" s="672"/>
      <c r="AR289" s="672"/>
      <c r="AS289" s="672"/>
      <c r="AT289" s="672"/>
      <c r="AU289" s="672"/>
      <c r="AV289" s="672"/>
      <c r="AW289" s="672"/>
      <c r="AX289" s="672"/>
      <c r="AY289" s="672"/>
      <c r="AZ289" s="672"/>
      <c r="BA289" s="672"/>
      <c r="BB289" s="672"/>
      <c r="BC289" s="673"/>
      <c r="BD289" s="301"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3" t="s">
        <v>1598</v>
      </c>
      <c r="EO289" s="385">
        <v>1</v>
      </c>
      <c r="EP289" s="385">
        <v>4</v>
      </c>
      <c r="EQ289" s="275">
        <v>1</v>
      </c>
      <c r="ER289" s="275">
        <v>1</v>
      </c>
      <c r="ES289" s="275">
        <v>1</v>
      </c>
      <c r="ET289" s="826">
        <v>1</v>
      </c>
    </row>
    <row r="290" spans="1:150" ht="48.75" customHeight="1" x14ac:dyDescent="0.2">
      <c r="A290" s="767" t="s">
        <v>103</v>
      </c>
      <c r="B290" s="428" t="s">
        <v>104</v>
      </c>
      <c r="C290" s="429" t="s">
        <v>1452</v>
      </c>
      <c r="D290" s="429"/>
      <c r="E290" s="8" t="s">
        <v>641</v>
      </c>
      <c r="F290" s="281" t="str">
        <f t="shared" si="202"/>
        <v>E4.P_D</v>
      </c>
      <c r="G290" s="452" t="s">
        <v>424</v>
      </c>
      <c r="H290" s="452" t="s">
        <v>589</v>
      </c>
      <c r="I290" s="442"/>
      <c r="J290" s="284" t="s">
        <v>61</v>
      </c>
      <c r="K290" s="285" t="str">
        <f t="shared" si="203"/>
        <v>E4.P_D.MR1</v>
      </c>
      <c r="L290" s="511" t="s">
        <v>568</v>
      </c>
      <c r="M290" s="512" t="s">
        <v>1575</v>
      </c>
      <c r="N290" s="491">
        <v>1</v>
      </c>
      <c r="O290" s="491">
        <v>4</v>
      </c>
      <c r="P290" s="492" t="s">
        <v>122</v>
      </c>
      <c r="Q290" s="492" t="str">
        <f t="shared" si="204"/>
        <v>E4.P_D.MR1-MP05-1</v>
      </c>
      <c r="R290" s="527" t="s">
        <v>1601</v>
      </c>
      <c r="S290" s="694" t="s">
        <v>1602</v>
      </c>
      <c r="T290" s="669">
        <v>1</v>
      </c>
      <c r="U290" s="670">
        <v>4</v>
      </c>
      <c r="V290" s="669" t="s">
        <v>67</v>
      </c>
      <c r="W290" s="533">
        <v>1</v>
      </c>
      <c r="X290" s="674">
        <v>1</v>
      </c>
      <c r="Y290" s="533">
        <v>1</v>
      </c>
      <c r="Z290" s="534">
        <v>1</v>
      </c>
      <c r="AA290" s="671"/>
      <c r="AB290" s="672"/>
      <c r="AC290" s="672"/>
      <c r="AD290" s="672"/>
      <c r="AE290" s="672"/>
      <c r="AF290" s="672"/>
      <c r="AG290" s="672"/>
      <c r="AH290" s="672"/>
      <c r="AI290" s="672"/>
      <c r="AJ290" s="672"/>
      <c r="AK290" s="672"/>
      <c r="AL290" s="672"/>
      <c r="AM290" s="672"/>
      <c r="AN290" s="672"/>
      <c r="AO290" s="672"/>
      <c r="AP290" s="672"/>
      <c r="AQ290" s="672"/>
      <c r="AR290" s="672"/>
      <c r="AS290" s="672"/>
      <c r="AT290" s="672"/>
      <c r="AU290" s="672"/>
      <c r="AV290" s="672"/>
      <c r="AW290" s="672"/>
      <c r="AX290" s="672"/>
      <c r="AY290" s="672"/>
      <c r="AZ290" s="672"/>
      <c r="BA290" s="672"/>
      <c r="BB290" s="672"/>
      <c r="BC290" s="673"/>
      <c r="BD290" s="301"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3" t="s">
        <v>1602</v>
      </c>
      <c r="EO290" s="385">
        <v>1</v>
      </c>
      <c r="EP290" s="385">
        <v>4</v>
      </c>
      <c r="EQ290" s="275">
        <v>1</v>
      </c>
      <c r="ER290" s="275">
        <v>1</v>
      </c>
      <c r="ES290" s="275">
        <v>1</v>
      </c>
      <c r="ET290" s="826">
        <v>1</v>
      </c>
    </row>
    <row r="291" spans="1:150" ht="47.25" customHeight="1" x14ac:dyDescent="0.2">
      <c r="A291" s="767" t="s">
        <v>103</v>
      </c>
      <c r="B291" s="428" t="s">
        <v>104</v>
      </c>
      <c r="C291" s="429" t="s">
        <v>1452</v>
      </c>
      <c r="D291" s="429"/>
      <c r="E291" s="8" t="s">
        <v>641</v>
      </c>
      <c r="F291" s="281" t="str">
        <f t="shared" si="202"/>
        <v>E4.P_D</v>
      </c>
      <c r="G291" s="452" t="s">
        <v>424</v>
      </c>
      <c r="H291" s="452" t="s">
        <v>589</v>
      </c>
      <c r="I291" s="442"/>
      <c r="J291" s="284" t="s">
        <v>61</v>
      </c>
      <c r="K291" s="285" t="str">
        <f t="shared" si="203"/>
        <v>E4.P_D.MR1</v>
      </c>
      <c r="L291" s="511" t="s">
        <v>568</v>
      </c>
      <c r="M291" s="512" t="s">
        <v>1575</v>
      </c>
      <c r="N291" s="491">
        <v>1</v>
      </c>
      <c r="O291" s="491">
        <v>4</v>
      </c>
      <c r="P291" s="492" t="s">
        <v>1415</v>
      </c>
      <c r="Q291" s="492" t="str">
        <f t="shared" si="204"/>
        <v>E4.P_D.MR1-MP05-2</v>
      </c>
      <c r="R291" s="527" t="s">
        <v>1601</v>
      </c>
      <c r="S291" s="694" t="s">
        <v>1605</v>
      </c>
      <c r="T291" s="669">
        <v>1</v>
      </c>
      <c r="U291" s="670">
        <v>4</v>
      </c>
      <c r="V291" s="669" t="s">
        <v>67</v>
      </c>
      <c r="W291" s="533">
        <v>1</v>
      </c>
      <c r="X291" s="674">
        <v>1</v>
      </c>
      <c r="Y291" s="533">
        <v>1</v>
      </c>
      <c r="Z291" s="534">
        <v>1</v>
      </c>
      <c r="AA291" s="671"/>
      <c r="AB291" s="672"/>
      <c r="AC291" s="672"/>
      <c r="AD291" s="672"/>
      <c r="AE291" s="672"/>
      <c r="AF291" s="672"/>
      <c r="AG291" s="672"/>
      <c r="AH291" s="672"/>
      <c r="AI291" s="672"/>
      <c r="AJ291" s="672"/>
      <c r="AK291" s="672"/>
      <c r="AL291" s="672"/>
      <c r="AM291" s="672"/>
      <c r="AN291" s="672"/>
      <c r="AO291" s="672"/>
      <c r="AP291" s="672"/>
      <c r="AQ291" s="672"/>
      <c r="AR291" s="672"/>
      <c r="AS291" s="672"/>
      <c r="AT291" s="672"/>
      <c r="AU291" s="672"/>
      <c r="AV291" s="672"/>
      <c r="AW291" s="672"/>
      <c r="AX291" s="672"/>
      <c r="AY291" s="672"/>
      <c r="AZ291" s="672"/>
      <c r="BA291" s="672"/>
      <c r="BB291" s="672"/>
      <c r="BC291" s="673"/>
      <c r="BD291" s="301"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3" t="s">
        <v>1605</v>
      </c>
      <c r="EO291" s="385">
        <v>1</v>
      </c>
      <c r="EP291" s="385">
        <v>4</v>
      </c>
      <c r="EQ291" s="275">
        <v>1</v>
      </c>
      <c r="ER291" s="275">
        <v>1</v>
      </c>
      <c r="ES291" s="275">
        <v>1</v>
      </c>
      <c r="ET291" s="826">
        <v>1</v>
      </c>
    </row>
    <row r="292" spans="1:150" ht="50.25" customHeight="1" x14ac:dyDescent="0.2">
      <c r="A292" s="767" t="s">
        <v>103</v>
      </c>
      <c r="B292" s="428" t="s">
        <v>104</v>
      </c>
      <c r="C292" s="429" t="s">
        <v>1452</v>
      </c>
      <c r="D292" s="429"/>
      <c r="E292" s="8" t="s">
        <v>641</v>
      </c>
      <c r="F292" s="281" t="str">
        <f t="shared" si="202"/>
        <v>E4.P_D</v>
      </c>
      <c r="G292" s="452" t="s">
        <v>424</v>
      </c>
      <c r="H292" s="452" t="s">
        <v>589</v>
      </c>
      <c r="I292" s="442"/>
      <c r="J292" s="284" t="s">
        <v>61</v>
      </c>
      <c r="K292" s="285" t="str">
        <f t="shared" si="203"/>
        <v>E4.P_D.MR1</v>
      </c>
      <c r="L292" s="511" t="s">
        <v>568</v>
      </c>
      <c r="M292" s="512" t="s">
        <v>1575</v>
      </c>
      <c r="N292" s="491">
        <v>1</v>
      </c>
      <c r="O292" s="491">
        <v>4</v>
      </c>
      <c r="P292" s="492" t="s">
        <v>132</v>
      </c>
      <c r="Q292" s="492" t="str">
        <f t="shared" si="204"/>
        <v>E4.P_D.MR1-MP06-1</v>
      </c>
      <c r="R292" s="527" t="s">
        <v>1608</v>
      </c>
      <c r="S292" s="694" t="s">
        <v>1609</v>
      </c>
      <c r="T292" s="739">
        <v>0.5</v>
      </c>
      <c r="U292" s="670">
        <v>1</v>
      </c>
      <c r="V292" s="669" t="s">
        <v>67</v>
      </c>
      <c r="W292" s="544">
        <v>0.25</v>
      </c>
      <c r="X292" s="545">
        <v>0.25</v>
      </c>
      <c r="Y292" s="544">
        <v>0.25</v>
      </c>
      <c r="Z292" s="546">
        <v>0.25</v>
      </c>
      <c r="AA292" s="671"/>
      <c r="AB292" s="672"/>
      <c r="AC292" s="672"/>
      <c r="AD292" s="672"/>
      <c r="AE292" s="672"/>
      <c r="AF292" s="672"/>
      <c r="AG292" s="672"/>
      <c r="AH292" s="672"/>
      <c r="AI292" s="672"/>
      <c r="AJ292" s="672"/>
      <c r="AK292" s="672"/>
      <c r="AL292" s="672"/>
      <c r="AM292" s="672"/>
      <c r="AN292" s="672"/>
      <c r="AO292" s="672"/>
      <c r="AP292" s="672"/>
      <c r="AQ292" s="672"/>
      <c r="AR292" s="672"/>
      <c r="AS292" s="672"/>
      <c r="AT292" s="672"/>
      <c r="AU292" s="672"/>
      <c r="AV292" s="672"/>
      <c r="AW292" s="672"/>
      <c r="AX292" s="672"/>
      <c r="AY292" s="672"/>
      <c r="AZ292" s="672"/>
      <c r="BA292" s="672"/>
      <c r="BB292" s="672"/>
      <c r="BC292" s="673"/>
      <c r="BD292" s="301"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3" t="s">
        <v>1609</v>
      </c>
      <c r="EO292" s="651">
        <v>0.5</v>
      </c>
      <c r="EP292" s="385">
        <v>1</v>
      </c>
      <c r="EQ292" s="329">
        <v>0.25</v>
      </c>
      <c r="ER292" s="329">
        <v>0.25</v>
      </c>
      <c r="ES292" s="329">
        <v>0.25</v>
      </c>
      <c r="ET292" s="825">
        <v>0.25</v>
      </c>
    </row>
    <row r="293" spans="1:150" ht="47.25" customHeight="1" x14ac:dyDescent="0.2">
      <c r="A293" s="767" t="s">
        <v>103</v>
      </c>
      <c r="B293" s="428" t="s">
        <v>104</v>
      </c>
      <c r="C293" s="429" t="s">
        <v>1452</v>
      </c>
      <c r="D293" s="429"/>
      <c r="E293" s="8" t="s">
        <v>641</v>
      </c>
      <c r="F293" s="281" t="str">
        <f t="shared" si="202"/>
        <v>E4.P_D</v>
      </c>
      <c r="G293" s="452" t="s">
        <v>424</v>
      </c>
      <c r="H293" s="452" t="s">
        <v>589</v>
      </c>
      <c r="I293" s="442"/>
      <c r="J293" s="284" t="s">
        <v>61</v>
      </c>
      <c r="K293" s="285" t="str">
        <f t="shared" si="203"/>
        <v>E4.P_D.MR1</v>
      </c>
      <c r="L293" s="511" t="s">
        <v>568</v>
      </c>
      <c r="M293" s="512" t="s">
        <v>1575</v>
      </c>
      <c r="N293" s="491">
        <v>1</v>
      </c>
      <c r="O293" s="491">
        <v>4</v>
      </c>
      <c r="P293" s="492" t="s">
        <v>1380</v>
      </c>
      <c r="Q293" s="492" t="str">
        <f t="shared" si="204"/>
        <v>E4.P_D.MR1-MP06-2</v>
      </c>
      <c r="R293" s="527" t="s">
        <v>1612</v>
      </c>
      <c r="S293" s="694" t="s">
        <v>1613</v>
      </c>
      <c r="T293" s="739">
        <v>0.5</v>
      </c>
      <c r="U293" s="670">
        <v>1</v>
      </c>
      <c r="V293" s="669" t="s">
        <v>67</v>
      </c>
      <c r="W293" s="544">
        <v>0.25</v>
      </c>
      <c r="X293" s="545">
        <v>0.25</v>
      </c>
      <c r="Y293" s="544">
        <v>0.25</v>
      </c>
      <c r="Z293" s="546">
        <v>0.25</v>
      </c>
      <c r="AA293" s="671"/>
      <c r="AB293" s="672"/>
      <c r="AC293" s="672"/>
      <c r="AD293" s="672"/>
      <c r="AE293" s="672"/>
      <c r="AF293" s="672"/>
      <c r="AG293" s="672"/>
      <c r="AH293" s="672"/>
      <c r="AI293" s="672"/>
      <c r="AJ293" s="672"/>
      <c r="AK293" s="672"/>
      <c r="AL293" s="672"/>
      <c r="AM293" s="672"/>
      <c r="AN293" s="672"/>
      <c r="AO293" s="672"/>
      <c r="AP293" s="672"/>
      <c r="AQ293" s="672"/>
      <c r="AR293" s="672"/>
      <c r="AS293" s="672"/>
      <c r="AT293" s="672"/>
      <c r="AU293" s="672"/>
      <c r="AV293" s="672"/>
      <c r="AW293" s="672"/>
      <c r="AX293" s="672"/>
      <c r="AY293" s="672"/>
      <c r="AZ293" s="672"/>
      <c r="BA293" s="672"/>
      <c r="BB293" s="672"/>
      <c r="BC293" s="673"/>
      <c r="BD293" s="301"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3" t="s">
        <v>1613</v>
      </c>
      <c r="EO293" s="651">
        <v>0.5</v>
      </c>
      <c r="EP293" s="385">
        <v>1</v>
      </c>
      <c r="EQ293" s="329">
        <v>0.25</v>
      </c>
      <c r="ER293" s="329">
        <v>0.25</v>
      </c>
      <c r="ES293" s="329">
        <v>0.25</v>
      </c>
      <c r="ET293" s="825">
        <v>0.25</v>
      </c>
    </row>
    <row r="294" spans="1:150" ht="46.5" customHeight="1" thickBot="1" x14ac:dyDescent="0.25">
      <c r="A294" s="767" t="s">
        <v>103</v>
      </c>
      <c r="B294" s="428" t="s">
        <v>104</v>
      </c>
      <c r="C294" s="429" t="s">
        <v>1452</v>
      </c>
      <c r="D294" s="429"/>
      <c r="E294" s="8" t="s">
        <v>641</v>
      </c>
      <c r="F294" s="281" t="str">
        <f t="shared" si="202"/>
        <v>E4.P_D</v>
      </c>
      <c r="G294" s="452" t="s">
        <v>424</v>
      </c>
      <c r="H294" s="452" t="s">
        <v>589</v>
      </c>
      <c r="I294" s="446"/>
      <c r="J294" s="340" t="s">
        <v>61</v>
      </c>
      <c r="K294" s="400" t="str">
        <f t="shared" si="203"/>
        <v>E4.P_D.MR1</v>
      </c>
      <c r="L294" s="547" t="s">
        <v>568</v>
      </c>
      <c r="M294" s="548" t="s">
        <v>1575</v>
      </c>
      <c r="N294" s="497">
        <v>1</v>
      </c>
      <c r="O294" s="497">
        <v>4</v>
      </c>
      <c r="P294" s="786" t="s">
        <v>142</v>
      </c>
      <c r="Q294" s="786" t="str">
        <f t="shared" si="204"/>
        <v>E4.P_D.MR1-MP07-1</v>
      </c>
      <c r="R294" s="628" t="s">
        <v>1616</v>
      </c>
      <c r="S294" s="551" t="s">
        <v>1617</v>
      </c>
      <c r="T294" s="676">
        <v>0</v>
      </c>
      <c r="U294" s="677">
        <v>1</v>
      </c>
      <c r="V294" s="676" t="s">
        <v>67</v>
      </c>
      <c r="W294" s="554">
        <v>0</v>
      </c>
      <c r="X294" s="555">
        <v>1</v>
      </c>
      <c r="Y294" s="554">
        <v>0</v>
      </c>
      <c r="Z294" s="556">
        <v>0</v>
      </c>
      <c r="AA294" s="671"/>
      <c r="AB294" s="672"/>
      <c r="AC294" s="672"/>
      <c r="AD294" s="672"/>
      <c r="AE294" s="672"/>
      <c r="AF294" s="672"/>
      <c r="AG294" s="672"/>
      <c r="AH294" s="672"/>
      <c r="AI294" s="672"/>
      <c r="AJ294" s="672"/>
      <c r="AK294" s="672"/>
      <c r="AL294" s="672"/>
      <c r="AM294" s="672"/>
      <c r="AN294" s="672"/>
      <c r="AO294" s="672"/>
      <c r="AP294" s="672"/>
      <c r="AQ294" s="672"/>
      <c r="AR294" s="672"/>
      <c r="AS294" s="672"/>
      <c r="AT294" s="672"/>
      <c r="AU294" s="672"/>
      <c r="AV294" s="672"/>
      <c r="AW294" s="672"/>
      <c r="AX294" s="672"/>
      <c r="AY294" s="672"/>
      <c r="AZ294" s="672"/>
      <c r="BA294" s="672"/>
      <c r="BB294" s="672"/>
      <c r="BC294" s="673"/>
      <c r="BD294" s="301"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8" t="s">
        <v>1616</v>
      </c>
      <c r="EN294" s="274" t="s">
        <v>1617</v>
      </c>
      <c r="EO294" s="385">
        <v>0</v>
      </c>
      <c r="EP294" s="385">
        <v>1</v>
      </c>
      <c r="EQ294" s="275">
        <v>0</v>
      </c>
      <c r="ER294" s="275">
        <v>1</v>
      </c>
      <c r="ES294" s="275">
        <v>0</v>
      </c>
      <c r="ET294" s="826">
        <v>0</v>
      </c>
    </row>
    <row r="295" spans="1:150" ht="109.5" customHeight="1" x14ac:dyDescent="0.2">
      <c r="A295" s="767" t="s">
        <v>103</v>
      </c>
      <c r="B295" s="428" t="s">
        <v>104</v>
      </c>
      <c r="C295" s="429" t="s">
        <v>1452</v>
      </c>
      <c r="D295" s="429"/>
      <c r="E295" s="8" t="s">
        <v>641</v>
      </c>
      <c r="F295" s="281" t="str">
        <f t="shared" si="202"/>
        <v>E4.P_D</v>
      </c>
      <c r="G295" s="452" t="s">
        <v>424</v>
      </c>
      <c r="H295" s="452" t="s">
        <v>589</v>
      </c>
      <c r="I295" s="811" t="s">
        <v>1620</v>
      </c>
      <c r="J295" s="434" t="s">
        <v>167</v>
      </c>
      <c r="K295" s="398" t="str">
        <f t="shared" si="203"/>
        <v>E4.P_D.MR2</v>
      </c>
      <c r="L295" s="360" t="s">
        <v>577</v>
      </c>
      <c r="M295" s="361" t="s">
        <v>1621</v>
      </c>
      <c r="N295" s="479">
        <v>0</v>
      </c>
      <c r="O295" s="479">
        <v>1</v>
      </c>
      <c r="P295" s="481" t="s">
        <v>64</v>
      </c>
      <c r="Q295" s="481" t="str">
        <f t="shared" si="204"/>
        <v>E4.P_D.MR2-MP01-1</v>
      </c>
      <c r="R295" s="416" t="s">
        <v>1622</v>
      </c>
      <c r="S295" s="367" t="s">
        <v>1621</v>
      </c>
      <c r="T295" s="368">
        <v>0</v>
      </c>
      <c r="U295" s="369">
        <v>1</v>
      </c>
      <c r="V295" s="368" t="s">
        <v>67</v>
      </c>
      <c r="W295" s="561">
        <v>0.25</v>
      </c>
      <c r="X295" s="562">
        <v>0.25</v>
      </c>
      <c r="Y295" s="561">
        <v>0.25</v>
      </c>
      <c r="Z295" s="563">
        <v>0.25</v>
      </c>
      <c r="AA295" s="298"/>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299"/>
      <c r="BA295" s="299"/>
      <c r="BB295" s="299"/>
      <c r="BC295" s="300"/>
      <c r="BD295" s="301"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8" t="s">
        <v>1622</v>
      </c>
      <c r="EN295" s="274" t="s">
        <v>1621</v>
      </c>
      <c r="EO295" s="274">
        <v>0</v>
      </c>
      <c r="EP295" s="274">
        <v>1</v>
      </c>
      <c r="EQ295" s="329">
        <v>0.25</v>
      </c>
      <c r="ER295" s="329">
        <v>0.25</v>
      </c>
      <c r="ES295" s="329">
        <v>0.25</v>
      </c>
      <c r="ET295" s="825">
        <v>0.25</v>
      </c>
    </row>
    <row r="296" spans="1:150" ht="40.5" customHeight="1" thickBot="1" x14ac:dyDescent="0.25">
      <c r="A296" s="767" t="s">
        <v>103</v>
      </c>
      <c r="B296" s="428" t="s">
        <v>104</v>
      </c>
      <c r="C296" s="429" t="s">
        <v>1452</v>
      </c>
      <c r="D296" s="429"/>
      <c r="E296" s="8" t="s">
        <v>641</v>
      </c>
      <c r="F296" s="281" t="str">
        <f t="shared" si="202"/>
        <v>E4.P_D</v>
      </c>
      <c r="G296" s="282" t="s">
        <v>424</v>
      </c>
      <c r="H296" s="282" t="s">
        <v>589</v>
      </c>
      <c r="I296" s="446"/>
      <c r="J296" s="340" t="s">
        <v>167</v>
      </c>
      <c r="K296" s="400" t="str">
        <f t="shared" si="203"/>
        <v>E4.P_D.MR2</v>
      </c>
      <c r="L296" s="424" t="s">
        <v>577</v>
      </c>
      <c r="M296" s="425" t="s">
        <v>1621</v>
      </c>
      <c r="N296" s="497">
        <v>0</v>
      </c>
      <c r="O296" s="497">
        <v>1</v>
      </c>
      <c r="P296" s="498" t="s">
        <v>87</v>
      </c>
      <c r="Q296" s="498" t="str">
        <f t="shared" si="204"/>
        <v>E4.P_D.MR2-MP02-1</v>
      </c>
      <c r="R296" s="475" t="s">
        <v>1626</v>
      </c>
      <c r="S296" s="337" t="s">
        <v>1627</v>
      </c>
      <c r="T296" s="392">
        <v>0</v>
      </c>
      <c r="U296" s="393">
        <v>1</v>
      </c>
      <c r="V296" s="392" t="s">
        <v>67</v>
      </c>
      <c r="W296" s="394">
        <v>0.25</v>
      </c>
      <c r="X296" s="395">
        <v>0.25</v>
      </c>
      <c r="Y296" s="394">
        <v>0.25</v>
      </c>
      <c r="Z296" s="396">
        <v>0.25</v>
      </c>
      <c r="AA296" s="382"/>
      <c r="AB296" s="383"/>
      <c r="AC296" s="383"/>
      <c r="AD296" s="383"/>
      <c r="AE296" s="383"/>
      <c r="AF296" s="383"/>
      <c r="AG296" s="383"/>
      <c r="AH296" s="383"/>
      <c r="AI296" s="383"/>
      <c r="AJ296" s="383"/>
      <c r="AK296" s="383"/>
      <c r="AL296" s="383"/>
      <c r="AM296" s="383"/>
      <c r="AN296" s="383"/>
      <c r="AO296" s="383"/>
      <c r="AP296" s="383"/>
      <c r="AQ296" s="383"/>
      <c r="AR296" s="383"/>
      <c r="AS296" s="383"/>
      <c r="AT296" s="383"/>
      <c r="AU296" s="383"/>
      <c r="AV296" s="383"/>
      <c r="AW296" s="383"/>
      <c r="AX296" s="383"/>
      <c r="AY296" s="383"/>
      <c r="AZ296" s="383"/>
      <c r="BA296" s="383"/>
      <c r="BB296" s="383"/>
      <c r="BC296" s="384"/>
      <c r="BD296" s="301"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8" t="s">
        <v>1626</v>
      </c>
      <c r="EN296" s="274" t="s">
        <v>1627</v>
      </c>
      <c r="EO296" s="385">
        <v>0</v>
      </c>
      <c r="EP296" s="385">
        <v>1</v>
      </c>
      <c r="EQ296" s="329">
        <v>0.25</v>
      </c>
      <c r="ER296" s="329">
        <v>0.25</v>
      </c>
      <c r="ES296" s="329">
        <v>0.25</v>
      </c>
      <c r="ET296" s="825">
        <v>0.25</v>
      </c>
    </row>
    <row r="297" spans="1:150" ht="99" customHeight="1" x14ac:dyDescent="0.2">
      <c r="A297" s="767" t="s">
        <v>103</v>
      </c>
      <c r="B297" s="428" t="s">
        <v>104</v>
      </c>
      <c r="C297" s="429" t="s">
        <v>1452</v>
      </c>
      <c r="D297" s="429"/>
      <c r="E297" s="8" t="s">
        <v>641</v>
      </c>
      <c r="F297" s="281" t="str">
        <f t="shared" si="202"/>
        <v>E4.P_D</v>
      </c>
      <c r="G297" s="282" t="s">
        <v>424</v>
      </c>
      <c r="H297" s="282" t="s">
        <v>589</v>
      </c>
      <c r="I297" s="811" t="s">
        <v>1630</v>
      </c>
      <c r="J297" s="434" t="s">
        <v>212</v>
      </c>
      <c r="K297" s="398" t="str">
        <f t="shared" si="203"/>
        <v>E4.P_D.MR3</v>
      </c>
      <c r="L297" s="360" t="s">
        <v>585</v>
      </c>
      <c r="M297" s="361" t="s">
        <v>1631</v>
      </c>
      <c r="N297" s="362">
        <v>1</v>
      </c>
      <c r="O297" s="247">
        <v>1</v>
      </c>
      <c r="P297" s="579" t="s">
        <v>64</v>
      </c>
      <c r="Q297" s="785" t="str">
        <f t="shared" si="204"/>
        <v>E4.P_D.MR3-MP01-1</v>
      </c>
      <c r="R297" s="416" t="s">
        <v>1632</v>
      </c>
      <c r="S297" s="367" t="s">
        <v>1633</v>
      </c>
      <c r="T297" s="368">
        <v>1</v>
      </c>
      <c r="U297" s="369">
        <v>1</v>
      </c>
      <c r="V297" s="368" t="s">
        <v>102</v>
      </c>
      <c r="W297" s="561">
        <v>0.25</v>
      </c>
      <c r="X297" s="562">
        <v>0.25</v>
      </c>
      <c r="Y297" s="561">
        <v>0.25</v>
      </c>
      <c r="Z297" s="563">
        <v>0.25</v>
      </c>
      <c r="AA297" s="298"/>
      <c r="AB297" s="299"/>
      <c r="AC297" s="299"/>
      <c r="AD297" s="299"/>
      <c r="AE297" s="299"/>
      <c r="AF297" s="299"/>
      <c r="AG297" s="299"/>
      <c r="AH297" s="299"/>
      <c r="AI297" s="299"/>
      <c r="AJ297" s="299"/>
      <c r="AK297" s="299"/>
      <c r="AL297" s="299"/>
      <c r="AM297" s="299"/>
      <c r="AN297" s="299"/>
      <c r="AO297" s="299"/>
      <c r="AP297" s="299"/>
      <c r="AQ297" s="299"/>
      <c r="AR297" s="299"/>
      <c r="AS297" s="299"/>
      <c r="AT297" s="299"/>
      <c r="AU297" s="299"/>
      <c r="AV297" s="299"/>
      <c r="AW297" s="299"/>
      <c r="AX297" s="299"/>
      <c r="AY297" s="299"/>
      <c r="AZ297" s="299"/>
      <c r="BA297" s="299"/>
      <c r="BB297" s="299"/>
      <c r="BC297" s="300"/>
      <c r="BD297" s="301"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8" t="s">
        <v>1632</v>
      </c>
      <c r="EN297" s="274" t="s">
        <v>1633</v>
      </c>
      <c r="EO297" s="274">
        <v>1</v>
      </c>
      <c r="EP297" s="274">
        <v>1</v>
      </c>
      <c r="EQ297" s="329">
        <v>1</v>
      </c>
      <c r="ER297" s="329">
        <v>1</v>
      </c>
      <c r="ES297" s="329">
        <v>1</v>
      </c>
      <c r="ET297" s="825">
        <v>1</v>
      </c>
    </row>
    <row r="298" spans="1:150" ht="60.75" customHeight="1" thickBot="1" x14ac:dyDescent="0.25">
      <c r="A298" s="767" t="s">
        <v>103</v>
      </c>
      <c r="B298" s="428" t="s">
        <v>104</v>
      </c>
      <c r="C298" s="429" t="s">
        <v>1452</v>
      </c>
      <c r="D298" s="429"/>
      <c r="E298" s="8" t="s">
        <v>641</v>
      </c>
      <c r="F298" s="281" t="str">
        <f t="shared" si="202"/>
        <v>E4.P_D</v>
      </c>
      <c r="G298" s="422" t="s">
        <v>424</v>
      </c>
      <c r="H298" s="422" t="s">
        <v>589</v>
      </c>
      <c r="I298" s="446"/>
      <c r="J298" s="340" t="s">
        <v>212</v>
      </c>
      <c r="K298" s="400" t="str">
        <f t="shared" si="203"/>
        <v>E4.P_D.MR3</v>
      </c>
      <c r="L298" s="424" t="s">
        <v>585</v>
      </c>
      <c r="M298" s="425" t="s">
        <v>1631</v>
      </c>
      <c r="N298" s="374">
        <v>1</v>
      </c>
      <c r="O298" s="288">
        <v>1</v>
      </c>
      <c r="P298" s="565" t="s">
        <v>87</v>
      </c>
      <c r="Q298" s="401" t="str">
        <f t="shared" si="204"/>
        <v>E4.P_D.MR3-MP02-1</v>
      </c>
      <c r="R298" s="475" t="s">
        <v>1636</v>
      </c>
      <c r="S298" s="337" t="s">
        <v>1637</v>
      </c>
      <c r="T298" s="350">
        <v>198</v>
      </c>
      <c r="U298" s="351">
        <v>230</v>
      </c>
      <c r="V298" s="350" t="s">
        <v>67</v>
      </c>
      <c r="W298" s="352">
        <v>50</v>
      </c>
      <c r="X298" s="353">
        <v>60</v>
      </c>
      <c r="Y298" s="352">
        <v>60</v>
      </c>
      <c r="Z298" s="354">
        <v>60</v>
      </c>
      <c r="AA298" s="298"/>
      <c r="AB298" s="299"/>
      <c r="AC298" s="299"/>
      <c r="AD298" s="299"/>
      <c r="AE298" s="299"/>
      <c r="AF298" s="299"/>
      <c r="AG298" s="299"/>
      <c r="AH298" s="299"/>
      <c r="AI298" s="299"/>
      <c r="AJ298" s="299"/>
      <c r="AK298" s="299"/>
      <c r="AL298" s="299"/>
      <c r="AM298" s="299"/>
      <c r="AN298" s="299"/>
      <c r="AO298" s="299"/>
      <c r="AP298" s="299"/>
      <c r="AQ298" s="299"/>
      <c r="AR298" s="299"/>
      <c r="AS298" s="299"/>
      <c r="AT298" s="299"/>
      <c r="AU298" s="299"/>
      <c r="AV298" s="299"/>
      <c r="AW298" s="299"/>
      <c r="AX298" s="299"/>
      <c r="AY298" s="299"/>
      <c r="AZ298" s="299"/>
      <c r="BA298" s="299"/>
      <c r="BB298" s="299"/>
      <c r="BC298" s="300"/>
      <c r="BD298" s="301"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8" t="s">
        <v>1636</v>
      </c>
      <c r="EN298" s="274" t="s">
        <v>1637</v>
      </c>
      <c r="EO298" s="274">
        <v>198</v>
      </c>
      <c r="EP298" s="274">
        <v>230</v>
      </c>
      <c r="EQ298" s="275">
        <v>50</v>
      </c>
      <c r="ER298" s="275">
        <v>60</v>
      </c>
      <c r="ES298" s="275">
        <v>60</v>
      </c>
      <c r="ET298" s="826">
        <v>60</v>
      </c>
    </row>
    <row r="299" spans="1:150" ht="106.5" customHeight="1" x14ac:dyDescent="0.2">
      <c r="A299" s="767" t="s">
        <v>103</v>
      </c>
      <c r="B299" s="428" t="s">
        <v>104</v>
      </c>
      <c r="C299" s="429" t="s">
        <v>1452</v>
      </c>
      <c r="D299" s="430" t="s">
        <v>1174</v>
      </c>
      <c r="E299" s="3" t="s">
        <v>695</v>
      </c>
      <c r="F299" s="431" t="str">
        <f t="shared" si="202"/>
        <v>E4.P_E</v>
      </c>
      <c r="G299" s="432" t="s">
        <v>1640</v>
      </c>
      <c r="H299" s="477" t="s">
        <v>608</v>
      </c>
      <c r="I299" s="811" t="s">
        <v>1641</v>
      </c>
      <c r="J299" s="434" t="s">
        <v>61</v>
      </c>
      <c r="K299" s="398" t="str">
        <f t="shared" si="203"/>
        <v>E4.P_E.MR1</v>
      </c>
      <c r="L299" s="360" t="s">
        <v>594</v>
      </c>
      <c r="M299" s="361" t="s">
        <v>1642</v>
      </c>
      <c r="N299" s="479">
        <v>85957</v>
      </c>
      <c r="O299" s="479">
        <v>97991</v>
      </c>
      <c r="P299" s="642" t="s">
        <v>64</v>
      </c>
      <c r="Q299" s="481" t="str">
        <f t="shared" si="204"/>
        <v>E4.P_E.MR1-MP01-1</v>
      </c>
      <c r="R299" s="416" t="s">
        <v>1643</v>
      </c>
      <c r="S299" s="367" t="s">
        <v>1644</v>
      </c>
      <c r="T299" s="368">
        <v>1</v>
      </c>
      <c r="U299" s="617">
        <v>1</v>
      </c>
      <c r="V299" s="616" t="s">
        <v>102</v>
      </c>
      <c r="W299" s="484">
        <v>1</v>
      </c>
      <c r="X299" s="485">
        <v>0</v>
      </c>
      <c r="Y299" s="484">
        <v>0</v>
      </c>
      <c r="Z299" s="486">
        <v>0</v>
      </c>
      <c r="AA299" s="298"/>
      <c r="AB299" s="299"/>
      <c r="AC299" s="299"/>
      <c r="AD299" s="299"/>
      <c r="AE299" s="299"/>
      <c r="AF299" s="299"/>
      <c r="AG299" s="299"/>
      <c r="AH299" s="299"/>
      <c r="AI299" s="299"/>
      <c r="AJ299" s="299"/>
      <c r="AK299" s="299"/>
      <c r="AL299" s="299"/>
      <c r="AM299" s="299"/>
      <c r="AN299" s="299"/>
      <c r="AO299" s="299"/>
      <c r="AP299" s="299"/>
      <c r="AQ299" s="299"/>
      <c r="AR299" s="299"/>
      <c r="AS299" s="299"/>
      <c r="AT299" s="299"/>
      <c r="AU299" s="299"/>
      <c r="AV299" s="299"/>
      <c r="AW299" s="299"/>
      <c r="AX299" s="299"/>
      <c r="AY299" s="299"/>
      <c r="AZ299" s="299"/>
      <c r="BA299" s="299"/>
      <c r="BB299" s="299"/>
      <c r="BC299" s="300"/>
      <c r="BD299" s="301"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8" t="s">
        <v>1643</v>
      </c>
      <c r="EN299" s="274" t="s">
        <v>1644</v>
      </c>
      <c r="EO299" s="274">
        <v>1</v>
      </c>
      <c r="EP299" s="274">
        <v>1</v>
      </c>
      <c r="EQ299" s="275">
        <v>1</v>
      </c>
      <c r="ER299" s="275">
        <v>0</v>
      </c>
      <c r="ES299" s="275">
        <v>0</v>
      </c>
      <c r="ET299" s="826">
        <v>0</v>
      </c>
    </row>
    <row r="300" spans="1:150" ht="41.25" customHeight="1" x14ac:dyDescent="0.2">
      <c r="A300" s="767" t="s">
        <v>103</v>
      </c>
      <c r="B300" s="428" t="s">
        <v>104</v>
      </c>
      <c r="C300" s="429" t="s">
        <v>1452</v>
      </c>
      <c r="D300" s="429"/>
      <c r="E300" s="8" t="s">
        <v>695</v>
      </c>
      <c r="F300" s="281" t="str">
        <f t="shared" si="202"/>
        <v>E4.P_E</v>
      </c>
      <c r="G300" s="452" t="s">
        <v>435</v>
      </c>
      <c r="H300" s="452" t="s">
        <v>608</v>
      </c>
      <c r="I300" s="283"/>
      <c r="J300" s="284" t="s">
        <v>61</v>
      </c>
      <c r="K300" s="285" t="str">
        <f t="shared" si="203"/>
        <v>E4.P_E.MR1</v>
      </c>
      <c r="L300" s="408" t="s">
        <v>594</v>
      </c>
      <c r="M300" s="409" t="s">
        <v>1642</v>
      </c>
      <c r="N300" s="491">
        <v>85957</v>
      </c>
      <c r="O300" s="491">
        <v>97991</v>
      </c>
      <c r="P300" s="480" t="s">
        <v>87</v>
      </c>
      <c r="Q300" s="492" t="str">
        <f t="shared" si="204"/>
        <v>E4.P_E.MR1-MP02-1</v>
      </c>
      <c r="R300" s="420" t="s">
        <v>1648</v>
      </c>
      <c r="S300" s="314" t="s">
        <v>1649</v>
      </c>
      <c r="T300" s="293">
        <v>0</v>
      </c>
      <c r="U300" s="294">
        <v>1</v>
      </c>
      <c r="V300" s="293" t="s">
        <v>67</v>
      </c>
      <c r="W300" s="321">
        <v>0.25</v>
      </c>
      <c r="X300" s="322">
        <v>0.25</v>
      </c>
      <c r="Y300" s="321">
        <v>0.25</v>
      </c>
      <c r="Z300" s="323">
        <v>0.25</v>
      </c>
      <c r="AA300" s="298"/>
      <c r="AB300" s="299"/>
      <c r="AC300" s="299"/>
      <c r="AD300" s="299"/>
      <c r="AE300" s="299"/>
      <c r="AF300" s="299"/>
      <c r="AG300" s="299"/>
      <c r="AH300" s="299"/>
      <c r="AI300" s="299"/>
      <c r="AJ300" s="299"/>
      <c r="AK300" s="299"/>
      <c r="AL300" s="299"/>
      <c r="AM300" s="299"/>
      <c r="AN300" s="299"/>
      <c r="AO300" s="299"/>
      <c r="AP300" s="299"/>
      <c r="AQ300" s="299"/>
      <c r="AR300" s="299"/>
      <c r="AS300" s="299"/>
      <c r="AT300" s="299"/>
      <c r="AU300" s="299"/>
      <c r="AV300" s="299"/>
      <c r="AW300" s="299"/>
      <c r="AX300" s="299"/>
      <c r="AY300" s="299"/>
      <c r="AZ300" s="299"/>
      <c r="BA300" s="299"/>
      <c r="BB300" s="299"/>
      <c r="BC300" s="300"/>
      <c r="BD300" s="301"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8" t="s">
        <v>1648</v>
      </c>
      <c r="EN300" s="274" t="s">
        <v>1649</v>
      </c>
      <c r="EO300" s="274">
        <v>0</v>
      </c>
      <c r="EP300" s="274">
        <v>1</v>
      </c>
      <c r="EQ300" s="329">
        <v>0.25</v>
      </c>
      <c r="ER300" s="329">
        <v>0.25</v>
      </c>
      <c r="ES300" s="329">
        <v>0.25</v>
      </c>
      <c r="ET300" s="825">
        <v>0.25</v>
      </c>
    </row>
    <row r="301" spans="1:150" ht="53.25" customHeight="1" x14ac:dyDescent="0.2">
      <c r="A301" s="767" t="s">
        <v>103</v>
      </c>
      <c r="B301" s="428" t="s">
        <v>104</v>
      </c>
      <c r="C301" s="429" t="s">
        <v>1452</v>
      </c>
      <c r="D301" s="429"/>
      <c r="E301" s="8" t="s">
        <v>695</v>
      </c>
      <c r="F301" s="281" t="str">
        <f t="shared" si="202"/>
        <v>E4.P_E</v>
      </c>
      <c r="G301" s="452" t="s">
        <v>435</v>
      </c>
      <c r="H301" s="452" t="s">
        <v>608</v>
      </c>
      <c r="I301" s="283"/>
      <c r="J301" s="284" t="s">
        <v>61</v>
      </c>
      <c r="K301" s="285" t="str">
        <f t="shared" si="203"/>
        <v>E4.P_E.MR1</v>
      </c>
      <c r="L301" s="408" t="s">
        <v>594</v>
      </c>
      <c r="M301" s="409" t="s">
        <v>1642</v>
      </c>
      <c r="N301" s="491">
        <v>85957</v>
      </c>
      <c r="O301" s="491">
        <v>97991</v>
      </c>
      <c r="P301" s="480" t="s">
        <v>99</v>
      </c>
      <c r="Q301" s="492" t="str">
        <f t="shared" si="204"/>
        <v>E4.P_E.MR1-MP03-1</v>
      </c>
      <c r="R301" s="420" t="s">
        <v>1652</v>
      </c>
      <c r="S301" s="314" t="s">
        <v>1653</v>
      </c>
      <c r="T301" s="293">
        <v>3500</v>
      </c>
      <c r="U301" s="294">
        <v>1500</v>
      </c>
      <c r="V301" s="293" t="s">
        <v>807</v>
      </c>
      <c r="W301" s="295">
        <v>9900</v>
      </c>
      <c r="X301" s="296">
        <v>8500</v>
      </c>
      <c r="Y301" s="295">
        <v>7500</v>
      </c>
      <c r="Z301" s="297">
        <v>5000</v>
      </c>
      <c r="AA301" s="298"/>
      <c r="AB301" s="299"/>
      <c r="AC301" s="299"/>
      <c r="AD301" s="299"/>
      <c r="AE301" s="299"/>
      <c r="AF301" s="299"/>
      <c r="AG301" s="299"/>
      <c r="AH301" s="299"/>
      <c r="AI301" s="299"/>
      <c r="AJ301" s="299"/>
      <c r="AK301" s="299"/>
      <c r="AL301" s="299"/>
      <c r="AM301" s="299"/>
      <c r="AN301" s="299"/>
      <c r="AO301" s="299"/>
      <c r="AP301" s="299"/>
      <c r="AQ301" s="299"/>
      <c r="AR301" s="299"/>
      <c r="AS301" s="299"/>
      <c r="AT301" s="299"/>
      <c r="AU301" s="299"/>
      <c r="AV301" s="299"/>
      <c r="AW301" s="299"/>
      <c r="AX301" s="299"/>
      <c r="AY301" s="299"/>
      <c r="AZ301" s="299"/>
      <c r="BA301" s="299"/>
      <c r="BB301" s="299"/>
      <c r="BC301" s="300"/>
      <c r="BD301" s="301"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8" t="s">
        <v>1652</v>
      </c>
      <c r="EN301" s="274" t="s">
        <v>1653</v>
      </c>
      <c r="EO301" s="274">
        <v>3500</v>
      </c>
      <c r="EP301" s="274">
        <v>1500</v>
      </c>
      <c r="EQ301" s="806">
        <v>3000</v>
      </c>
      <c r="ER301" s="806">
        <v>2500</v>
      </c>
      <c r="ES301" s="806">
        <v>2000</v>
      </c>
      <c r="ET301" s="836">
        <v>1500</v>
      </c>
    </row>
    <row r="302" spans="1:150" ht="54" customHeight="1" x14ac:dyDescent="0.2">
      <c r="A302" s="767" t="s">
        <v>103</v>
      </c>
      <c r="B302" s="428" t="s">
        <v>104</v>
      </c>
      <c r="C302" s="429" t="s">
        <v>1452</v>
      </c>
      <c r="D302" s="429"/>
      <c r="E302" s="8" t="s">
        <v>695</v>
      </c>
      <c r="F302" s="281" t="str">
        <f t="shared" si="202"/>
        <v>E4.P_E</v>
      </c>
      <c r="G302" s="452" t="s">
        <v>435</v>
      </c>
      <c r="H302" s="452" t="s">
        <v>608</v>
      </c>
      <c r="I302" s="283"/>
      <c r="J302" s="284" t="s">
        <v>61</v>
      </c>
      <c r="K302" s="285" t="str">
        <f t="shared" si="203"/>
        <v>E4.P_E.MR1</v>
      </c>
      <c r="L302" s="408" t="s">
        <v>594</v>
      </c>
      <c r="M302" s="409" t="s">
        <v>1642</v>
      </c>
      <c r="N302" s="491">
        <v>85957</v>
      </c>
      <c r="O302" s="491">
        <v>97991</v>
      </c>
      <c r="P302" s="480" t="s">
        <v>112</v>
      </c>
      <c r="Q302" s="492" t="str">
        <f t="shared" si="204"/>
        <v>E4.P_E.MR1-MP04-1</v>
      </c>
      <c r="R302" s="420" t="s">
        <v>1656</v>
      </c>
      <c r="S302" s="314" t="s">
        <v>1657</v>
      </c>
      <c r="T302" s="293">
        <v>1</v>
      </c>
      <c r="U302" s="294">
        <v>1</v>
      </c>
      <c r="V302" s="293" t="s">
        <v>102</v>
      </c>
      <c r="W302" s="321">
        <v>0.25</v>
      </c>
      <c r="X302" s="322">
        <v>0.25</v>
      </c>
      <c r="Y302" s="321">
        <v>0.25</v>
      </c>
      <c r="Z302" s="323">
        <v>0.25</v>
      </c>
      <c r="AA302" s="298"/>
      <c r="AB302" s="299"/>
      <c r="AC302" s="299"/>
      <c r="AD302" s="299"/>
      <c r="AE302" s="299"/>
      <c r="AF302" s="299"/>
      <c r="AG302" s="299"/>
      <c r="AH302" s="299"/>
      <c r="AI302" s="299"/>
      <c r="AJ302" s="299"/>
      <c r="AK302" s="299"/>
      <c r="AL302" s="299"/>
      <c r="AM302" s="299"/>
      <c r="AN302" s="299"/>
      <c r="AO302" s="299"/>
      <c r="AP302" s="299"/>
      <c r="AQ302" s="299"/>
      <c r="AR302" s="299"/>
      <c r="AS302" s="299"/>
      <c r="AT302" s="299"/>
      <c r="AU302" s="299"/>
      <c r="AV302" s="299"/>
      <c r="AW302" s="299"/>
      <c r="AX302" s="299"/>
      <c r="AY302" s="299"/>
      <c r="AZ302" s="299"/>
      <c r="BA302" s="299"/>
      <c r="BB302" s="299"/>
      <c r="BC302" s="300"/>
      <c r="BD302" s="301"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8" t="s">
        <v>1656</v>
      </c>
      <c r="EN302" s="274" t="s">
        <v>1657</v>
      </c>
      <c r="EO302" s="274">
        <v>1</v>
      </c>
      <c r="EP302" s="274">
        <v>1</v>
      </c>
      <c r="EQ302" s="329">
        <v>0.25</v>
      </c>
      <c r="ER302" s="329">
        <v>0.25</v>
      </c>
      <c r="ES302" s="329">
        <v>0.25</v>
      </c>
      <c r="ET302" s="825">
        <v>0.25</v>
      </c>
    </row>
    <row r="303" spans="1:150" ht="37.5" customHeight="1" x14ac:dyDescent="0.2">
      <c r="A303" s="767" t="s">
        <v>103</v>
      </c>
      <c r="B303" s="428" t="s">
        <v>104</v>
      </c>
      <c r="C303" s="429" t="s">
        <v>1452</v>
      </c>
      <c r="D303" s="429"/>
      <c r="E303" s="8" t="s">
        <v>695</v>
      </c>
      <c r="F303" s="281" t="str">
        <f t="shared" si="202"/>
        <v>E4.P_E</v>
      </c>
      <c r="G303" s="452" t="s">
        <v>435</v>
      </c>
      <c r="H303" s="452" t="s">
        <v>608</v>
      </c>
      <c r="I303" s="283"/>
      <c r="J303" s="284" t="s">
        <v>61</v>
      </c>
      <c r="K303" s="285" t="str">
        <f t="shared" si="203"/>
        <v>E4.P_E.MR1</v>
      </c>
      <c r="L303" s="408" t="s">
        <v>594</v>
      </c>
      <c r="M303" s="409" t="s">
        <v>1642</v>
      </c>
      <c r="N303" s="491">
        <v>85957</v>
      </c>
      <c r="O303" s="491">
        <v>97991</v>
      </c>
      <c r="P303" s="480" t="s">
        <v>122</v>
      </c>
      <c r="Q303" s="492" t="str">
        <f t="shared" si="204"/>
        <v>E4.P_E.MR1-MP05-1</v>
      </c>
      <c r="R303" s="420" t="s">
        <v>1660</v>
      </c>
      <c r="S303" s="314" t="s">
        <v>1661</v>
      </c>
      <c r="T303" s="293">
        <v>0</v>
      </c>
      <c r="U303" s="294">
        <v>1</v>
      </c>
      <c r="V303" s="293" t="s">
        <v>67</v>
      </c>
      <c r="W303" s="321">
        <v>0.25</v>
      </c>
      <c r="X303" s="322">
        <v>0.25</v>
      </c>
      <c r="Y303" s="321">
        <v>0.25</v>
      </c>
      <c r="Z303" s="323">
        <v>0.25</v>
      </c>
      <c r="AA303" s="298"/>
      <c r="AB303" s="299"/>
      <c r="AC303" s="299"/>
      <c r="AD303" s="299"/>
      <c r="AE303" s="299"/>
      <c r="AF303" s="299"/>
      <c r="AG303" s="299"/>
      <c r="AH303" s="299"/>
      <c r="AI303" s="299"/>
      <c r="AJ303" s="299"/>
      <c r="AK303" s="299"/>
      <c r="AL303" s="299"/>
      <c r="AM303" s="299"/>
      <c r="AN303" s="299"/>
      <c r="AO303" s="299"/>
      <c r="AP303" s="299"/>
      <c r="AQ303" s="299"/>
      <c r="AR303" s="299"/>
      <c r="AS303" s="299"/>
      <c r="AT303" s="299"/>
      <c r="AU303" s="299"/>
      <c r="AV303" s="299"/>
      <c r="AW303" s="299"/>
      <c r="AX303" s="299"/>
      <c r="AY303" s="299"/>
      <c r="AZ303" s="299"/>
      <c r="BA303" s="299"/>
      <c r="BB303" s="299"/>
      <c r="BC303" s="300"/>
      <c r="BD303" s="301"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8" t="s">
        <v>1660</v>
      </c>
      <c r="EN303" s="274" t="s">
        <v>1661</v>
      </c>
      <c r="EO303" s="274">
        <v>0</v>
      </c>
      <c r="EP303" s="274">
        <v>1</v>
      </c>
      <c r="EQ303" s="329">
        <v>0.25</v>
      </c>
      <c r="ER303" s="329">
        <v>0.25</v>
      </c>
      <c r="ES303" s="329">
        <v>0.25</v>
      </c>
      <c r="ET303" s="825">
        <v>0.25</v>
      </c>
    </row>
    <row r="304" spans="1:150" ht="44.25" customHeight="1" thickBot="1" x14ac:dyDescent="0.25">
      <c r="A304" s="787" t="s">
        <v>103</v>
      </c>
      <c r="B304" s="596" t="s">
        <v>104</v>
      </c>
      <c r="C304" s="597" t="s">
        <v>1452</v>
      </c>
      <c r="D304" s="597"/>
      <c r="E304" s="21" t="s">
        <v>695</v>
      </c>
      <c r="F304" s="598" t="str">
        <f t="shared" si="202"/>
        <v>E4.P_E</v>
      </c>
      <c r="G304" s="564" t="s">
        <v>435</v>
      </c>
      <c r="H304" s="564" t="s">
        <v>608</v>
      </c>
      <c r="I304" s="495"/>
      <c r="J304" s="340" t="s">
        <v>61</v>
      </c>
      <c r="K304" s="400" t="str">
        <f t="shared" si="203"/>
        <v>E4.P_E.MR1</v>
      </c>
      <c r="L304" s="424" t="s">
        <v>594</v>
      </c>
      <c r="M304" s="425" t="s">
        <v>1642</v>
      </c>
      <c r="N304" s="497">
        <v>85957</v>
      </c>
      <c r="O304" s="497">
        <v>97991</v>
      </c>
      <c r="P304" s="653" t="s">
        <v>132</v>
      </c>
      <c r="Q304" s="498" t="str">
        <f t="shared" si="204"/>
        <v>E4.P_E.MR1-MP06-1</v>
      </c>
      <c r="R304" s="427" t="s">
        <v>1664</v>
      </c>
      <c r="S304" s="349" t="s">
        <v>1665</v>
      </c>
      <c r="T304" s="392">
        <v>2</v>
      </c>
      <c r="U304" s="393">
        <v>3</v>
      </c>
      <c r="V304" s="392" t="s">
        <v>67</v>
      </c>
      <c r="W304" s="394">
        <v>0.75</v>
      </c>
      <c r="X304" s="395">
        <v>0.75</v>
      </c>
      <c r="Y304" s="394">
        <v>0.75</v>
      </c>
      <c r="Z304" s="396">
        <v>0.75</v>
      </c>
      <c r="AA304" s="638"/>
      <c r="AB304" s="639"/>
      <c r="AC304" s="639"/>
      <c r="AD304" s="639"/>
      <c r="AE304" s="639"/>
      <c r="AF304" s="639"/>
      <c r="AG304" s="639"/>
      <c r="AH304" s="639"/>
      <c r="AI304" s="639"/>
      <c r="AJ304" s="639"/>
      <c r="AK304" s="639"/>
      <c r="AL304" s="639"/>
      <c r="AM304" s="639"/>
      <c r="AN304" s="639"/>
      <c r="AO304" s="639"/>
      <c r="AP304" s="639"/>
      <c r="AQ304" s="639"/>
      <c r="AR304" s="639"/>
      <c r="AS304" s="639"/>
      <c r="AT304" s="639"/>
      <c r="AU304" s="639"/>
      <c r="AV304" s="639"/>
      <c r="AW304" s="639"/>
      <c r="AX304" s="639"/>
      <c r="AY304" s="639"/>
      <c r="AZ304" s="639"/>
      <c r="BA304" s="639"/>
      <c r="BB304" s="639"/>
      <c r="BC304" s="640"/>
      <c r="BD304" s="788"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Ns4uSZ9Yh0s5XY3nPp0seUAhxoi9qwH8DucA1oTbZHuZ1Mv6+gpPEG+8rUwMgw8WQpKa2oxZNXSeIFZKMVoCA==" saltValue="0ICdhcNtvnzOON4tV1Jxa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0" bestFit="1" customWidth="1"/>
    <col min="2" max="2" width="30.42578125" style="210" customWidth="1"/>
    <col min="3" max="3" width="33.28515625" style="210" customWidth="1"/>
    <col min="4" max="4" width="11.42578125" style="210"/>
    <col min="5" max="5" width="53.42578125" style="210" hidden="1" customWidth="1"/>
    <col min="6" max="256" width="11.42578125" style="210"/>
    <col min="257" max="257" width="34" style="210" bestFit="1" customWidth="1"/>
    <col min="258" max="258" width="26.140625" style="210" customWidth="1"/>
    <col min="259" max="259" width="33.28515625" style="210" customWidth="1"/>
    <col min="260" max="260" width="11.42578125" style="210"/>
    <col min="261" max="261" width="53.42578125" style="210" customWidth="1"/>
    <col min="262" max="512" width="11.42578125" style="210"/>
    <col min="513" max="513" width="34" style="210" bestFit="1" customWidth="1"/>
    <col min="514" max="514" width="26.140625" style="210" customWidth="1"/>
    <col min="515" max="515" width="33.28515625" style="210" customWidth="1"/>
    <col min="516" max="516" width="11.42578125" style="210"/>
    <col min="517" max="517" width="53.42578125" style="210" customWidth="1"/>
    <col min="518" max="768" width="11.42578125" style="210"/>
    <col min="769" max="769" width="34" style="210" bestFit="1" customWidth="1"/>
    <col min="770" max="770" width="26.140625" style="210" customWidth="1"/>
    <col min="771" max="771" width="33.28515625" style="210" customWidth="1"/>
    <col min="772" max="772" width="11.42578125" style="210"/>
    <col min="773" max="773" width="53.42578125" style="210" customWidth="1"/>
    <col min="774" max="1024" width="11.42578125" style="210"/>
    <col min="1025" max="1025" width="34" style="210" bestFit="1" customWidth="1"/>
    <col min="1026" max="1026" width="26.140625" style="210" customWidth="1"/>
    <col min="1027" max="1027" width="33.28515625" style="210" customWidth="1"/>
    <col min="1028" max="1028" width="11.42578125" style="210"/>
    <col min="1029" max="1029" width="53.42578125" style="210" customWidth="1"/>
    <col min="1030" max="1280" width="11.42578125" style="210"/>
    <col min="1281" max="1281" width="34" style="210" bestFit="1" customWidth="1"/>
    <col min="1282" max="1282" width="26.140625" style="210" customWidth="1"/>
    <col min="1283" max="1283" width="33.28515625" style="210" customWidth="1"/>
    <col min="1284" max="1284" width="11.42578125" style="210"/>
    <col min="1285" max="1285" width="53.42578125" style="210" customWidth="1"/>
    <col min="1286" max="1536" width="11.42578125" style="210"/>
    <col min="1537" max="1537" width="34" style="210" bestFit="1" customWidth="1"/>
    <col min="1538" max="1538" width="26.140625" style="210" customWidth="1"/>
    <col min="1539" max="1539" width="33.28515625" style="210" customWidth="1"/>
    <col min="1540" max="1540" width="11.42578125" style="210"/>
    <col min="1541" max="1541" width="53.42578125" style="210" customWidth="1"/>
    <col min="1542" max="1792" width="11.42578125" style="210"/>
    <col min="1793" max="1793" width="34" style="210" bestFit="1" customWidth="1"/>
    <col min="1794" max="1794" width="26.140625" style="210" customWidth="1"/>
    <col min="1795" max="1795" width="33.28515625" style="210" customWidth="1"/>
    <col min="1796" max="1796" width="11.42578125" style="210"/>
    <col min="1797" max="1797" width="53.42578125" style="210" customWidth="1"/>
    <col min="1798" max="2048" width="11.42578125" style="210"/>
    <col min="2049" max="2049" width="34" style="210" bestFit="1" customWidth="1"/>
    <col min="2050" max="2050" width="26.140625" style="210" customWidth="1"/>
    <col min="2051" max="2051" width="33.28515625" style="210" customWidth="1"/>
    <col min="2052" max="2052" width="11.42578125" style="210"/>
    <col min="2053" max="2053" width="53.42578125" style="210" customWidth="1"/>
    <col min="2054" max="2304" width="11.42578125" style="210"/>
    <col min="2305" max="2305" width="34" style="210" bestFit="1" customWidth="1"/>
    <col min="2306" max="2306" width="26.140625" style="210" customWidth="1"/>
    <col min="2307" max="2307" width="33.28515625" style="210" customWidth="1"/>
    <col min="2308" max="2308" width="11.42578125" style="210"/>
    <col min="2309" max="2309" width="53.42578125" style="210" customWidth="1"/>
    <col min="2310" max="2560" width="11.42578125" style="210"/>
    <col min="2561" max="2561" width="34" style="210" bestFit="1" customWidth="1"/>
    <col min="2562" max="2562" width="26.140625" style="210" customWidth="1"/>
    <col min="2563" max="2563" width="33.28515625" style="210" customWidth="1"/>
    <col min="2564" max="2564" width="11.42578125" style="210"/>
    <col min="2565" max="2565" width="53.42578125" style="210" customWidth="1"/>
    <col min="2566" max="2816" width="11.42578125" style="210"/>
    <col min="2817" max="2817" width="34" style="210" bestFit="1" customWidth="1"/>
    <col min="2818" max="2818" width="26.140625" style="210" customWidth="1"/>
    <col min="2819" max="2819" width="33.28515625" style="210" customWidth="1"/>
    <col min="2820" max="2820" width="11.42578125" style="210"/>
    <col min="2821" max="2821" width="53.42578125" style="210" customWidth="1"/>
    <col min="2822" max="3072" width="11.42578125" style="210"/>
    <col min="3073" max="3073" width="34" style="210" bestFit="1" customWidth="1"/>
    <col min="3074" max="3074" width="26.140625" style="210" customWidth="1"/>
    <col min="3075" max="3075" width="33.28515625" style="210" customWidth="1"/>
    <col min="3076" max="3076" width="11.42578125" style="210"/>
    <col min="3077" max="3077" width="53.42578125" style="210" customWidth="1"/>
    <col min="3078" max="3328" width="11.42578125" style="210"/>
    <col min="3329" max="3329" width="34" style="210" bestFit="1" customWidth="1"/>
    <col min="3330" max="3330" width="26.140625" style="210" customWidth="1"/>
    <col min="3331" max="3331" width="33.28515625" style="210" customWidth="1"/>
    <col min="3332" max="3332" width="11.42578125" style="210"/>
    <col min="3333" max="3333" width="53.42578125" style="210" customWidth="1"/>
    <col min="3334" max="3584" width="11.42578125" style="210"/>
    <col min="3585" max="3585" width="34" style="210" bestFit="1" customWidth="1"/>
    <col min="3586" max="3586" width="26.140625" style="210" customWidth="1"/>
    <col min="3587" max="3587" width="33.28515625" style="210" customWidth="1"/>
    <col min="3588" max="3588" width="11.42578125" style="210"/>
    <col min="3589" max="3589" width="53.42578125" style="210" customWidth="1"/>
    <col min="3590" max="3840" width="11.42578125" style="210"/>
    <col min="3841" max="3841" width="34" style="210" bestFit="1" customWidth="1"/>
    <col min="3842" max="3842" width="26.140625" style="210" customWidth="1"/>
    <col min="3843" max="3843" width="33.28515625" style="210" customWidth="1"/>
    <col min="3844" max="3844" width="11.42578125" style="210"/>
    <col min="3845" max="3845" width="53.42578125" style="210" customWidth="1"/>
    <col min="3846" max="4096" width="11.42578125" style="210"/>
    <col min="4097" max="4097" width="34" style="210" bestFit="1" customWidth="1"/>
    <col min="4098" max="4098" width="26.140625" style="210" customWidth="1"/>
    <col min="4099" max="4099" width="33.28515625" style="210" customWidth="1"/>
    <col min="4100" max="4100" width="11.42578125" style="210"/>
    <col min="4101" max="4101" width="53.42578125" style="210" customWidth="1"/>
    <col min="4102" max="4352" width="11.42578125" style="210"/>
    <col min="4353" max="4353" width="34" style="210" bestFit="1" customWidth="1"/>
    <col min="4354" max="4354" width="26.140625" style="210" customWidth="1"/>
    <col min="4355" max="4355" width="33.28515625" style="210" customWidth="1"/>
    <col min="4356" max="4356" width="11.42578125" style="210"/>
    <col min="4357" max="4357" width="53.42578125" style="210" customWidth="1"/>
    <col min="4358" max="4608" width="11.42578125" style="210"/>
    <col min="4609" max="4609" width="34" style="210" bestFit="1" customWidth="1"/>
    <col min="4610" max="4610" width="26.140625" style="210" customWidth="1"/>
    <col min="4611" max="4611" width="33.28515625" style="210" customWidth="1"/>
    <col min="4612" max="4612" width="11.42578125" style="210"/>
    <col min="4613" max="4613" width="53.42578125" style="210" customWidth="1"/>
    <col min="4614" max="4864" width="11.42578125" style="210"/>
    <col min="4865" max="4865" width="34" style="210" bestFit="1" customWidth="1"/>
    <col min="4866" max="4866" width="26.140625" style="210" customWidth="1"/>
    <col min="4867" max="4867" width="33.28515625" style="210" customWidth="1"/>
    <col min="4868" max="4868" width="11.42578125" style="210"/>
    <col min="4869" max="4869" width="53.42578125" style="210" customWidth="1"/>
    <col min="4870" max="5120" width="11.42578125" style="210"/>
    <col min="5121" max="5121" width="34" style="210" bestFit="1" customWidth="1"/>
    <col min="5122" max="5122" width="26.140625" style="210" customWidth="1"/>
    <col min="5123" max="5123" width="33.28515625" style="210" customWidth="1"/>
    <col min="5124" max="5124" width="11.42578125" style="210"/>
    <col min="5125" max="5125" width="53.42578125" style="210" customWidth="1"/>
    <col min="5126" max="5376" width="11.42578125" style="210"/>
    <col min="5377" max="5377" width="34" style="210" bestFit="1" customWidth="1"/>
    <col min="5378" max="5378" width="26.140625" style="210" customWidth="1"/>
    <col min="5379" max="5379" width="33.28515625" style="210" customWidth="1"/>
    <col min="5380" max="5380" width="11.42578125" style="210"/>
    <col min="5381" max="5381" width="53.42578125" style="210" customWidth="1"/>
    <col min="5382" max="5632" width="11.42578125" style="210"/>
    <col min="5633" max="5633" width="34" style="210" bestFit="1" customWidth="1"/>
    <col min="5634" max="5634" width="26.140625" style="210" customWidth="1"/>
    <col min="5635" max="5635" width="33.28515625" style="210" customWidth="1"/>
    <col min="5636" max="5636" width="11.42578125" style="210"/>
    <col min="5637" max="5637" width="53.42578125" style="210" customWidth="1"/>
    <col min="5638" max="5888" width="11.42578125" style="210"/>
    <col min="5889" max="5889" width="34" style="210" bestFit="1" customWidth="1"/>
    <col min="5890" max="5890" width="26.140625" style="210" customWidth="1"/>
    <col min="5891" max="5891" width="33.28515625" style="210" customWidth="1"/>
    <col min="5892" max="5892" width="11.42578125" style="210"/>
    <col min="5893" max="5893" width="53.42578125" style="210" customWidth="1"/>
    <col min="5894" max="6144" width="11.42578125" style="210"/>
    <col min="6145" max="6145" width="34" style="210" bestFit="1" customWidth="1"/>
    <col min="6146" max="6146" width="26.140625" style="210" customWidth="1"/>
    <col min="6147" max="6147" width="33.28515625" style="210" customWidth="1"/>
    <col min="6148" max="6148" width="11.42578125" style="210"/>
    <col min="6149" max="6149" width="53.42578125" style="210" customWidth="1"/>
    <col min="6150" max="6400" width="11.42578125" style="210"/>
    <col min="6401" max="6401" width="34" style="210" bestFit="1" customWidth="1"/>
    <col min="6402" max="6402" width="26.140625" style="210" customWidth="1"/>
    <col min="6403" max="6403" width="33.28515625" style="210" customWidth="1"/>
    <col min="6404" max="6404" width="11.42578125" style="210"/>
    <col min="6405" max="6405" width="53.42578125" style="210" customWidth="1"/>
    <col min="6406" max="6656" width="11.42578125" style="210"/>
    <col min="6657" max="6657" width="34" style="210" bestFit="1" customWidth="1"/>
    <col min="6658" max="6658" width="26.140625" style="210" customWidth="1"/>
    <col min="6659" max="6659" width="33.28515625" style="210" customWidth="1"/>
    <col min="6660" max="6660" width="11.42578125" style="210"/>
    <col min="6661" max="6661" width="53.42578125" style="210" customWidth="1"/>
    <col min="6662" max="6912" width="11.42578125" style="210"/>
    <col min="6913" max="6913" width="34" style="210" bestFit="1" customWidth="1"/>
    <col min="6914" max="6914" width="26.140625" style="210" customWidth="1"/>
    <col min="6915" max="6915" width="33.28515625" style="210" customWidth="1"/>
    <col min="6916" max="6916" width="11.42578125" style="210"/>
    <col min="6917" max="6917" width="53.42578125" style="210" customWidth="1"/>
    <col min="6918" max="7168" width="11.42578125" style="210"/>
    <col min="7169" max="7169" width="34" style="210" bestFit="1" customWidth="1"/>
    <col min="7170" max="7170" width="26.140625" style="210" customWidth="1"/>
    <col min="7171" max="7171" width="33.28515625" style="210" customWidth="1"/>
    <col min="7172" max="7172" width="11.42578125" style="210"/>
    <col min="7173" max="7173" width="53.42578125" style="210" customWidth="1"/>
    <col min="7174" max="7424" width="11.42578125" style="210"/>
    <col min="7425" max="7425" width="34" style="210" bestFit="1" customWidth="1"/>
    <col min="7426" max="7426" width="26.140625" style="210" customWidth="1"/>
    <col min="7427" max="7427" width="33.28515625" style="210" customWidth="1"/>
    <col min="7428" max="7428" width="11.42578125" style="210"/>
    <col min="7429" max="7429" width="53.42578125" style="210" customWidth="1"/>
    <col min="7430" max="7680" width="11.42578125" style="210"/>
    <col min="7681" max="7681" width="34" style="210" bestFit="1" customWidth="1"/>
    <col min="7682" max="7682" width="26.140625" style="210" customWidth="1"/>
    <col min="7683" max="7683" width="33.28515625" style="210" customWidth="1"/>
    <col min="7684" max="7684" width="11.42578125" style="210"/>
    <col min="7685" max="7685" width="53.42578125" style="210" customWidth="1"/>
    <col min="7686" max="7936" width="11.42578125" style="210"/>
    <col min="7937" max="7937" width="34" style="210" bestFit="1" customWidth="1"/>
    <col min="7938" max="7938" width="26.140625" style="210" customWidth="1"/>
    <col min="7939" max="7939" width="33.28515625" style="210" customWidth="1"/>
    <col min="7940" max="7940" width="11.42578125" style="210"/>
    <col min="7941" max="7941" width="53.42578125" style="210" customWidth="1"/>
    <col min="7942" max="8192" width="11.42578125" style="210"/>
    <col min="8193" max="8193" width="34" style="210" bestFit="1" customWidth="1"/>
    <col min="8194" max="8194" width="26.140625" style="210" customWidth="1"/>
    <col min="8195" max="8195" width="33.28515625" style="210" customWidth="1"/>
    <col min="8196" max="8196" width="11.42578125" style="210"/>
    <col min="8197" max="8197" width="53.42578125" style="210" customWidth="1"/>
    <col min="8198" max="8448" width="11.42578125" style="210"/>
    <col min="8449" max="8449" width="34" style="210" bestFit="1" customWidth="1"/>
    <col min="8450" max="8450" width="26.140625" style="210" customWidth="1"/>
    <col min="8451" max="8451" width="33.28515625" style="210" customWidth="1"/>
    <col min="8452" max="8452" width="11.42578125" style="210"/>
    <col min="8453" max="8453" width="53.42578125" style="210" customWidth="1"/>
    <col min="8454" max="8704" width="11.42578125" style="210"/>
    <col min="8705" max="8705" width="34" style="210" bestFit="1" customWidth="1"/>
    <col min="8706" max="8706" width="26.140625" style="210" customWidth="1"/>
    <col min="8707" max="8707" width="33.28515625" style="210" customWidth="1"/>
    <col min="8708" max="8708" width="11.42578125" style="210"/>
    <col min="8709" max="8709" width="53.42578125" style="210" customWidth="1"/>
    <col min="8710" max="8960" width="11.42578125" style="210"/>
    <col min="8961" max="8961" width="34" style="210" bestFit="1" customWidth="1"/>
    <col min="8962" max="8962" width="26.140625" style="210" customWidth="1"/>
    <col min="8963" max="8963" width="33.28515625" style="210" customWidth="1"/>
    <col min="8964" max="8964" width="11.42578125" style="210"/>
    <col min="8965" max="8965" width="53.42578125" style="210" customWidth="1"/>
    <col min="8966" max="9216" width="11.42578125" style="210"/>
    <col min="9217" max="9217" width="34" style="210" bestFit="1" customWidth="1"/>
    <col min="9218" max="9218" width="26.140625" style="210" customWidth="1"/>
    <col min="9219" max="9219" width="33.28515625" style="210" customWidth="1"/>
    <col min="9220" max="9220" width="11.42578125" style="210"/>
    <col min="9221" max="9221" width="53.42578125" style="210" customWidth="1"/>
    <col min="9222" max="9472" width="11.42578125" style="210"/>
    <col min="9473" max="9473" width="34" style="210" bestFit="1" customWidth="1"/>
    <col min="9474" max="9474" width="26.140625" style="210" customWidth="1"/>
    <col min="9475" max="9475" width="33.28515625" style="210" customWidth="1"/>
    <col min="9476" max="9476" width="11.42578125" style="210"/>
    <col min="9477" max="9477" width="53.42578125" style="210" customWidth="1"/>
    <col min="9478" max="9728" width="11.42578125" style="210"/>
    <col min="9729" max="9729" width="34" style="210" bestFit="1" customWidth="1"/>
    <col min="9730" max="9730" width="26.140625" style="210" customWidth="1"/>
    <col min="9731" max="9731" width="33.28515625" style="210" customWidth="1"/>
    <col min="9732" max="9732" width="11.42578125" style="210"/>
    <col min="9733" max="9733" width="53.42578125" style="210" customWidth="1"/>
    <col min="9734" max="9984" width="11.42578125" style="210"/>
    <col min="9985" max="9985" width="34" style="210" bestFit="1" customWidth="1"/>
    <col min="9986" max="9986" width="26.140625" style="210" customWidth="1"/>
    <col min="9987" max="9987" width="33.28515625" style="210" customWidth="1"/>
    <col min="9988" max="9988" width="11.42578125" style="210"/>
    <col min="9989" max="9989" width="53.42578125" style="210" customWidth="1"/>
    <col min="9990" max="10240" width="11.42578125" style="210"/>
    <col min="10241" max="10241" width="34" style="210" bestFit="1" customWidth="1"/>
    <col min="10242" max="10242" width="26.140625" style="210" customWidth="1"/>
    <col min="10243" max="10243" width="33.28515625" style="210" customWidth="1"/>
    <col min="10244" max="10244" width="11.42578125" style="210"/>
    <col min="10245" max="10245" width="53.42578125" style="210" customWidth="1"/>
    <col min="10246" max="10496" width="11.42578125" style="210"/>
    <col min="10497" max="10497" width="34" style="210" bestFit="1" customWidth="1"/>
    <col min="10498" max="10498" width="26.140625" style="210" customWidth="1"/>
    <col min="10499" max="10499" width="33.28515625" style="210" customWidth="1"/>
    <col min="10500" max="10500" width="11.42578125" style="210"/>
    <col min="10501" max="10501" width="53.42578125" style="210" customWidth="1"/>
    <col min="10502" max="10752" width="11.42578125" style="210"/>
    <col min="10753" max="10753" width="34" style="210" bestFit="1" customWidth="1"/>
    <col min="10754" max="10754" width="26.140625" style="210" customWidth="1"/>
    <col min="10755" max="10755" width="33.28515625" style="210" customWidth="1"/>
    <col min="10756" max="10756" width="11.42578125" style="210"/>
    <col min="10757" max="10757" width="53.42578125" style="210" customWidth="1"/>
    <col min="10758" max="11008" width="11.42578125" style="210"/>
    <col min="11009" max="11009" width="34" style="210" bestFit="1" customWidth="1"/>
    <col min="11010" max="11010" width="26.140625" style="210" customWidth="1"/>
    <col min="11011" max="11011" width="33.28515625" style="210" customWidth="1"/>
    <col min="11012" max="11012" width="11.42578125" style="210"/>
    <col min="11013" max="11013" width="53.42578125" style="210" customWidth="1"/>
    <col min="11014" max="11264" width="11.42578125" style="210"/>
    <col min="11265" max="11265" width="34" style="210" bestFit="1" customWidth="1"/>
    <col min="11266" max="11266" width="26.140625" style="210" customWidth="1"/>
    <col min="11267" max="11267" width="33.28515625" style="210" customWidth="1"/>
    <col min="11268" max="11268" width="11.42578125" style="210"/>
    <col min="11269" max="11269" width="53.42578125" style="210" customWidth="1"/>
    <col min="11270" max="11520" width="11.42578125" style="210"/>
    <col min="11521" max="11521" width="34" style="210" bestFit="1" customWidth="1"/>
    <col min="11522" max="11522" width="26.140625" style="210" customWidth="1"/>
    <col min="11523" max="11523" width="33.28515625" style="210" customWidth="1"/>
    <col min="11524" max="11524" width="11.42578125" style="210"/>
    <col min="11525" max="11525" width="53.42578125" style="210" customWidth="1"/>
    <col min="11526" max="11776" width="11.42578125" style="210"/>
    <col min="11777" max="11777" width="34" style="210" bestFit="1" customWidth="1"/>
    <col min="11778" max="11778" width="26.140625" style="210" customWidth="1"/>
    <col min="11779" max="11779" width="33.28515625" style="210" customWidth="1"/>
    <col min="11780" max="11780" width="11.42578125" style="210"/>
    <col min="11781" max="11781" width="53.42578125" style="210" customWidth="1"/>
    <col min="11782" max="12032" width="11.42578125" style="210"/>
    <col min="12033" max="12033" width="34" style="210" bestFit="1" customWidth="1"/>
    <col min="12034" max="12034" width="26.140625" style="210" customWidth="1"/>
    <col min="12035" max="12035" width="33.28515625" style="210" customWidth="1"/>
    <col min="12036" max="12036" width="11.42578125" style="210"/>
    <col min="12037" max="12037" width="53.42578125" style="210" customWidth="1"/>
    <col min="12038" max="12288" width="11.42578125" style="210"/>
    <col min="12289" max="12289" width="34" style="210" bestFit="1" customWidth="1"/>
    <col min="12290" max="12290" width="26.140625" style="210" customWidth="1"/>
    <col min="12291" max="12291" width="33.28515625" style="210" customWidth="1"/>
    <col min="12292" max="12292" width="11.42578125" style="210"/>
    <col min="12293" max="12293" width="53.42578125" style="210" customWidth="1"/>
    <col min="12294" max="12544" width="11.42578125" style="210"/>
    <col min="12545" max="12545" width="34" style="210" bestFit="1" customWidth="1"/>
    <col min="12546" max="12546" width="26.140625" style="210" customWidth="1"/>
    <col min="12547" max="12547" width="33.28515625" style="210" customWidth="1"/>
    <col min="12548" max="12548" width="11.42578125" style="210"/>
    <col min="12549" max="12549" width="53.42578125" style="210" customWidth="1"/>
    <col min="12550" max="12800" width="11.42578125" style="210"/>
    <col min="12801" max="12801" width="34" style="210" bestFit="1" customWidth="1"/>
    <col min="12802" max="12802" width="26.140625" style="210" customWidth="1"/>
    <col min="12803" max="12803" width="33.28515625" style="210" customWidth="1"/>
    <col min="12804" max="12804" width="11.42578125" style="210"/>
    <col min="12805" max="12805" width="53.42578125" style="210" customWidth="1"/>
    <col min="12806" max="13056" width="11.42578125" style="210"/>
    <col min="13057" max="13057" width="34" style="210" bestFit="1" customWidth="1"/>
    <col min="13058" max="13058" width="26.140625" style="210" customWidth="1"/>
    <col min="13059" max="13059" width="33.28515625" style="210" customWidth="1"/>
    <col min="13060" max="13060" width="11.42578125" style="210"/>
    <col min="13061" max="13061" width="53.42578125" style="210" customWidth="1"/>
    <col min="13062" max="13312" width="11.42578125" style="210"/>
    <col min="13313" max="13313" width="34" style="210" bestFit="1" customWidth="1"/>
    <col min="13314" max="13314" width="26.140625" style="210" customWidth="1"/>
    <col min="13315" max="13315" width="33.28515625" style="210" customWidth="1"/>
    <col min="13316" max="13316" width="11.42578125" style="210"/>
    <col min="13317" max="13317" width="53.42578125" style="210" customWidth="1"/>
    <col min="13318" max="13568" width="11.42578125" style="210"/>
    <col min="13569" max="13569" width="34" style="210" bestFit="1" customWidth="1"/>
    <col min="13570" max="13570" width="26.140625" style="210" customWidth="1"/>
    <col min="13571" max="13571" width="33.28515625" style="210" customWidth="1"/>
    <col min="13572" max="13572" width="11.42578125" style="210"/>
    <col min="13573" max="13573" width="53.42578125" style="210" customWidth="1"/>
    <col min="13574" max="13824" width="11.42578125" style="210"/>
    <col min="13825" max="13825" width="34" style="210" bestFit="1" customWidth="1"/>
    <col min="13826" max="13826" width="26.140625" style="210" customWidth="1"/>
    <col min="13827" max="13827" width="33.28515625" style="210" customWidth="1"/>
    <col min="13828" max="13828" width="11.42578125" style="210"/>
    <col min="13829" max="13829" width="53.42578125" style="210" customWidth="1"/>
    <col min="13830" max="14080" width="11.42578125" style="210"/>
    <col min="14081" max="14081" width="34" style="210" bestFit="1" customWidth="1"/>
    <col min="14082" max="14082" width="26.140625" style="210" customWidth="1"/>
    <col min="14083" max="14083" width="33.28515625" style="210" customWidth="1"/>
    <col min="14084" max="14084" width="11.42578125" style="210"/>
    <col min="14085" max="14085" width="53.42578125" style="210" customWidth="1"/>
    <col min="14086" max="14336" width="11.42578125" style="210"/>
    <col min="14337" max="14337" width="34" style="210" bestFit="1" customWidth="1"/>
    <col min="14338" max="14338" width="26.140625" style="210" customWidth="1"/>
    <col min="14339" max="14339" width="33.28515625" style="210" customWidth="1"/>
    <col min="14340" max="14340" width="11.42578125" style="210"/>
    <col min="14341" max="14341" width="53.42578125" style="210" customWidth="1"/>
    <col min="14342" max="14592" width="11.42578125" style="210"/>
    <col min="14593" max="14593" width="34" style="210" bestFit="1" customWidth="1"/>
    <col min="14594" max="14594" width="26.140625" style="210" customWidth="1"/>
    <col min="14595" max="14595" width="33.28515625" style="210" customWidth="1"/>
    <col min="14596" max="14596" width="11.42578125" style="210"/>
    <col min="14597" max="14597" width="53.42578125" style="210" customWidth="1"/>
    <col min="14598" max="14848" width="11.42578125" style="210"/>
    <col min="14849" max="14849" width="34" style="210" bestFit="1" customWidth="1"/>
    <col min="14850" max="14850" width="26.140625" style="210" customWidth="1"/>
    <col min="14851" max="14851" width="33.28515625" style="210" customWidth="1"/>
    <col min="14852" max="14852" width="11.42578125" style="210"/>
    <col min="14853" max="14853" width="53.42578125" style="210" customWidth="1"/>
    <col min="14854" max="15104" width="11.42578125" style="210"/>
    <col min="15105" max="15105" width="34" style="210" bestFit="1" customWidth="1"/>
    <col min="15106" max="15106" width="26.140625" style="210" customWidth="1"/>
    <col min="15107" max="15107" width="33.28515625" style="210" customWidth="1"/>
    <col min="15108" max="15108" width="11.42578125" style="210"/>
    <col min="15109" max="15109" width="53.42578125" style="210" customWidth="1"/>
    <col min="15110" max="15360" width="11.42578125" style="210"/>
    <col min="15361" max="15361" width="34" style="210" bestFit="1" customWidth="1"/>
    <col min="15362" max="15362" width="26.140625" style="210" customWidth="1"/>
    <col min="15363" max="15363" width="33.28515625" style="210" customWidth="1"/>
    <col min="15364" max="15364" width="11.42578125" style="210"/>
    <col min="15365" max="15365" width="53.42578125" style="210" customWidth="1"/>
    <col min="15366" max="15616" width="11.42578125" style="210"/>
    <col min="15617" max="15617" width="34" style="210" bestFit="1" customWidth="1"/>
    <col min="15618" max="15618" width="26.140625" style="210" customWidth="1"/>
    <col min="15619" max="15619" width="33.28515625" style="210" customWidth="1"/>
    <col min="15620" max="15620" width="11.42578125" style="210"/>
    <col min="15621" max="15621" width="53.42578125" style="210" customWidth="1"/>
    <col min="15622" max="15872" width="11.42578125" style="210"/>
    <col min="15873" max="15873" width="34" style="210" bestFit="1" customWidth="1"/>
    <col min="15874" max="15874" width="26.140625" style="210" customWidth="1"/>
    <col min="15875" max="15875" width="33.28515625" style="210" customWidth="1"/>
    <col min="15876" max="15876" width="11.42578125" style="210"/>
    <col min="15877" max="15877" width="53.42578125" style="210" customWidth="1"/>
    <col min="15878" max="16128" width="11.42578125" style="210"/>
    <col min="16129" max="16129" width="34" style="210" bestFit="1" customWidth="1"/>
    <col min="16130" max="16130" width="26.140625" style="210" customWidth="1"/>
    <col min="16131" max="16131" width="33.28515625" style="210" customWidth="1"/>
    <col min="16132" max="16132" width="11.42578125" style="210"/>
    <col min="16133" max="16133" width="53.42578125" style="210" customWidth="1"/>
    <col min="16134" max="16384" width="11.42578125" style="210"/>
  </cols>
  <sheetData>
    <row r="1" spans="1:5" ht="32.25" thickTop="1" x14ac:dyDescent="0.25">
      <c r="A1" s="58" t="s">
        <v>1713</v>
      </c>
      <c r="B1" s="59" t="s">
        <v>1714</v>
      </c>
      <c r="C1" s="60" t="s">
        <v>1715</v>
      </c>
    </row>
    <row r="2" spans="1:5" ht="15.75" x14ac:dyDescent="0.25">
      <c r="A2" s="798" t="s">
        <v>73</v>
      </c>
      <c r="B2" s="799" t="s">
        <v>73</v>
      </c>
      <c r="C2" s="800" t="s">
        <v>73</v>
      </c>
      <c r="E2" s="210" t="str">
        <f>+C2</f>
        <v>0-0</v>
      </c>
    </row>
    <row r="3" spans="1:5" ht="30" x14ac:dyDescent="0.25">
      <c r="A3" s="865" t="s">
        <v>1716</v>
      </c>
      <c r="B3" s="866" t="s">
        <v>1717</v>
      </c>
      <c r="C3" s="867" t="s">
        <v>1718</v>
      </c>
      <c r="E3" s="210" t="str">
        <f>+CONCATENATE(C3," - ",B3)</f>
        <v>WALFRANDO ADOLFO FORERO BEJARANO - ALCALDE MUNICPAL</v>
      </c>
    </row>
    <row r="4" spans="1:5" ht="30" x14ac:dyDescent="0.25">
      <c r="A4" s="865" t="s">
        <v>1719</v>
      </c>
      <c r="B4" s="866" t="s">
        <v>1720</v>
      </c>
      <c r="C4" s="867" t="s">
        <v>1721</v>
      </c>
      <c r="E4" s="210" t="str">
        <f t="shared" ref="E4:E44" si="0">+CONCATENATE(C4," - ",B4)</f>
        <v>MARLA PATRICIA BARBOSA PALLARES - JEFE OFICINA JURÍDICA Y DE CONTRATACIÓN</v>
      </c>
    </row>
    <row r="5" spans="1:5" ht="30" x14ac:dyDescent="0.25">
      <c r="A5" s="865" t="s">
        <v>1722</v>
      </c>
      <c r="B5" s="866" t="s">
        <v>1723</v>
      </c>
      <c r="C5" s="867" t="s">
        <v>1724</v>
      </c>
      <c r="E5" s="210" t="str">
        <f t="shared" si="0"/>
        <v>LILIANA FERNANDA LÓPEZ RIVEROS - JEFE DE CONTROL INTERNO</v>
      </c>
    </row>
    <row r="6" spans="1:5" ht="30" x14ac:dyDescent="0.25">
      <c r="A6" s="865" t="s">
        <v>1725</v>
      </c>
      <c r="B6" s="866" t="s">
        <v>1726</v>
      </c>
      <c r="C6" s="867" t="s">
        <v>1727</v>
      </c>
      <c r="E6" s="210" t="str">
        <f t="shared" si="0"/>
        <v>LUIS ARMANDO SUÁREZ MORENO - SECRETARIO DE GOBIERNO</v>
      </c>
    </row>
    <row r="7" spans="1:5" ht="42.75" x14ac:dyDescent="0.25">
      <c r="A7" s="865" t="s">
        <v>1728</v>
      </c>
      <c r="B7" s="866" t="s">
        <v>1729</v>
      </c>
      <c r="C7" s="867" t="s">
        <v>1730</v>
      </c>
      <c r="E7" s="210" t="str">
        <f t="shared" si="0"/>
        <v>MARTHA LUCÍA FARIAS VILLARRAGA - SECRETARIA DE DESARROLLO ADMINISTRATIVO</v>
      </c>
    </row>
    <row r="8" spans="1:5" ht="30" x14ac:dyDescent="0.25">
      <c r="A8" s="865" t="s">
        <v>1917</v>
      </c>
      <c r="B8" s="866" t="s">
        <v>1916</v>
      </c>
      <c r="C8" s="867" t="s">
        <v>1731</v>
      </c>
      <c r="E8" s="210" t="str">
        <f t="shared" si="0"/>
        <v>LUZ EMILCE MAMBUSCAY LÓPEZ - SECRETARIA DESARROLLO ECONÓMICO</v>
      </c>
    </row>
    <row r="9" spans="1:5" ht="42.75" x14ac:dyDescent="0.25">
      <c r="A9" s="865" t="s">
        <v>1732</v>
      </c>
      <c r="B9" s="866" t="s">
        <v>1733</v>
      </c>
      <c r="C9" s="867" t="s">
        <v>1954</v>
      </c>
      <c r="E9" s="210" t="str">
        <f t="shared" si="0"/>
        <v>MARIA TERESA CANTOR BELLO - SECRETARIA DE DESARROLLO E INTEGRACIÓN SOCIAL</v>
      </c>
    </row>
    <row r="10" spans="1:5" ht="30" x14ac:dyDescent="0.25">
      <c r="A10" s="865" t="s">
        <v>1734</v>
      </c>
      <c r="B10" s="866" t="s">
        <v>1915</v>
      </c>
      <c r="C10" s="867" t="s">
        <v>1914</v>
      </c>
      <c r="E10" s="210" t="str">
        <f t="shared" si="0"/>
        <v>CARLOS JULIÁN NAVAS MARTÍNEZ - SECRETARIO DEL AMBIENTE</v>
      </c>
    </row>
    <row r="11" spans="1:5" ht="30" x14ac:dyDescent="0.25">
      <c r="A11" s="865" t="s">
        <v>1735</v>
      </c>
      <c r="B11" s="866" t="s">
        <v>1736</v>
      </c>
      <c r="C11" s="867" t="s">
        <v>1737</v>
      </c>
      <c r="E11" s="210" t="str">
        <f t="shared" si="0"/>
        <v>CÉSAR ORLANDO CHAPETÓN MARTÍNEZ  - SECRETARIO DE PLANEACIÓN</v>
      </c>
    </row>
    <row r="12" spans="1:5" x14ac:dyDescent="0.25">
      <c r="A12" s="865" t="s">
        <v>1738</v>
      </c>
      <c r="B12" s="866" t="s">
        <v>1739</v>
      </c>
      <c r="C12" s="867" t="s">
        <v>1740</v>
      </c>
      <c r="E12" s="210" t="str">
        <f t="shared" si="0"/>
        <v>WILMAN CONTRERAS MATEUS - SECRETARIO DE SALUD</v>
      </c>
    </row>
    <row r="13" spans="1:5" ht="30" x14ac:dyDescent="0.25">
      <c r="A13" s="868" t="s">
        <v>1741</v>
      </c>
      <c r="B13" s="866" t="s">
        <v>1742</v>
      </c>
      <c r="C13" s="867" t="s">
        <v>1743</v>
      </c>
      <c r="E13" s="210" t="str">
        <f t="shared" si="0"/>
        <v>SANDRA PATRICIA GARAVITO MORENO - SECRETARIA DE EDUCACIÓN</v>
      </c>
    </row>
    <row r="14" spans="1:5" ht="30" x14ac:dyDescent="0.25">
      <c r="A14" s="865" t="s">
        <v>1744</v>
      </c>
      <c r="B14" s="866" t="s">
        <v>1745</v>
      </c>
      <c r="C14" s="867" t="s">
        <v>1746</v>
      </c>
      <c r="E14" s="210" t="str">
        <f t="shared" si="0"/>
        <v>RAFAEL ANTONIO RIVERA GÓMEZ - SECRETARIO DE INFRAESTRUCTURA</v>
      </c>
    </row>
    <row r="15" spans="1:5" ht="30" x14ac:dyDescent="0.25">
      <c r="A15" s="865" t="s">
        <v>1747</v>
      </c>
      <c r="B15" s="866" t="s">
        <v>1748</v>
      </c>
      <c r="C15" s="867" t="s">
        <v>1749</v>
      </c>
      <c r="E15" s="210" t="str">
        <f t="shared" si="0"/>
        <v>MIGUEL ALEJANDRO RICO SUAREZ - SECRETARIO DE HACIENDA</v>
      </c>
    </row>
    <row r="16" spans="1:5" ht="30" x14ac:dyDescent="0.25">
      <c r="A16" s="865" t="s">
        <v>1750</v>
      </c>
      <c r="B16" s="866" t="s">
        <v>1751</v>
      </c>
      <c r="C16" s="867" t="s">
        <v>1752</v>
      </c>
      <c r="E16" s="210" t="str">
        <f t="shared" si="0"/>
        <v>JOHNNY FERNEY PÉREZ QUINCHE - SECRETARIO DE CULTURA Y PATRIMONIO</v>
      </c>
    </row>
    <row r="17" spans="1:5" ht="30" x14ac:dyDescent="0.25">
      <c r="A17" s="865" t="s">
        <v>1753</v>
      </c>
      <c r="B17" s="866" t="s">
        <v>1754</v>
      </c>
      <c r="C17" s="867" t="s">
        <v>1755</v>
      </c>
      <c r="E17" s="210" t="str">
        <f t="shared" si="0"/>
        <v>ANGELA PATRICIA NAVARRO LÓPEZ - JEFE DE COMUNICACIONES</v>
      </c>
    </row>
    <row r="18" spans="1:5" ht="42.75" x14ac:dyDescent="0.25">
      <c r="A18" s="865" t="s">
        <v>1756</v>
      </c>
      <c r="B18" s="866" t="s">
        <v>1757</v>
      </c>
      <c r="C18" s="867" t="s">
        <v>1758</v>
      </c>
      <c r="E18" s="210" t="str">
        <f t="shared" si="0"/>
        <v>HENRY HERNAN PRIETO VALBUENA - DIRECTOR EJECUTIVO INSTITUTO DE RECREACIÓN Y DEPORTE</v>
      </c>
    </row>
    <row r="19" spans="1:5" ht="30" x14ac:dyDescent="0.25">
      <c r="A19" s="865" t="s">
        <v>1759</v>
      </c>
      <c r="B19" s="866" t="s">
        <v>1760</v>
      </c>
      <c r="C19" s="867" t="s">
        <v>1761</v>
      </c>
      <c r="E19" s="210" t="str">
        <f t="shared" si="0"/>
        <v xml:space="preserve">FRANCISCO ALIRIO RODRÍGUEZ SANTOS - GERENTE EMPRESA DE SERVICIOS PÚBLICOS </v>
      </c>
    </row>
    <row r="20" spans="1:5" ht="42.75" x14ac:dyDescent="0.25">
      <c r="A20" s="865" t="s">
        <v>1732</v>
      </c>
      <c r="B20" s="866" t="s">
        <v>1936</v>
      </c>
      <c r="C20" s="867" t="s">
        <v>1731</v>
      </c>
      <c r="E20" s="210" t="str">
        <f t="shared" si="0"/>
        <v>LUZ EMILCE MAMBUSCAY LÓPEZ - SECRETARIA DE DESARROLLO E INTEGRACIÓN SOCIAL (E)</v>
      </c>
    </row>
    <row r="21" spans="1:5" ht="15.75" x14ac:dyDescent="0.25">
      <c r="A21" s="869"/>
      <c r="B21" s="870"/>
      <c r="C21" s="871"/>
      <c r="E21" s="210" t="str">
        <f t="shared" si="0"/>
        <v xml:space="preserve"> - </v>
      </c>
    </row>
    <row r="22" spans="1:5" ht="15.75" x14ac:dyDescent="0.25">
      <c r="A22" s="869"/>
      <c r="B22" s="870"/>
      <c r="C22" s="871"/>
      <c r="E22" s="210" t="str">
        <f t="shared" si="0"/>
        <v xml:space="preserve"> - </v>
      </c>
    </row>
    <row r="23" spans="1:5" ht="15.75" x14ac:dyDescent="0.25">
      <c r="A23" s="869"/>
      <c r="B23" s="870"/>
      <c r="C23" s="871"/>
      <c r="E23" s="210" t="str">
        <f t="shared" si="0"/>
        <v xml:space="preserve"> - </v>
      </c>
    </row>
    <row r="24" spans="1:5" ht="15.75" x14ac:dyDescent="0.25">
      <c r="A24" s="869"/>
      <c r="B24" s="870"/>
      <c r="C24" s="871"/>
      <c r="E24" s="210" t="str">
        <f t="shared" si="0"/>
        <v xml:space="preserve"> - </v>
      </c>
    </row>
    <row r="25" spans="1:5" ht="15.75" x14ac:dyDescent="0.25">
      <c r="A25" s="869"/>
      <c r="B25" s="870"/>
      <c r="C25" s="871"/>
      <c r="E25" s="210" t="str">
        <f t="shared" si="0"/>
        <v xml:space="preserve"> - </v>
      </c>
    </row>
    <row r="26" spans="1:5" ht="15.75" x14ac:dyDescent="0.25">
      <c r="A26" s="869"/>
      <c r="B26" s="870"/>
      <c r="C26" s="871"/>
      <c r="E26" s="210" t="str">
        <f t="shared" si="0"/>
        <v xml:space="preserve"> - </v>
      </c>
    </row>
    <row r="27" spans="1:5" ht="15.75" x14ac:dyDescent="0.25">
      <c r="A27" s="869"/>
      <c r="B27" s="870"/>
      <c r="C27" s="871"/>
      <c r="E27" s="210" t="str">
        <f t="shared" si="0"/>
        <v xml:space="preserve"> - </v>
      </c>
    </row>
    <row r="28" spans="1:5" ht="15.75" x14ac:dyDescent="0.25">
      <c r="A28" s="869"/>
      <c r="B28" s="870"/>
      <c r="C28" s="871"/>
      <c r="E28" s="210" t="str">
        <f t="shared" si="0"/>
        <v xml:space="preserve"> - </v>
      </c>
    </row>
    <row r="29" spans="1:5" ht="15.75" x14ac:dyDescent="0.25">
      <c r="A29" s="869"/>
      <c r="B29" s="870"/>
      <c r="C29" s="871"/>
      <c r="E29" s="210" t="str">
        <f t="shared" si="0"/>
        <v xml:space="preserve"> - </v>
      </c>
    </row>
    <row r="30" spans="1:5" x14ac:dyDescent="0.25">
      <c r="A30" s="872"/>
      <c r="B30" s="873"/>
      <c r="C30" s="874"/>
      <c r="E30" s="210" t="str">
        <f t="shared" si="0"/>
        <v xml:space="preserve"> - </v>
      </c>
    </row>
    <row r="31" spans="1:5" x14ac:dyDescent="0.25">
      <c r="A31" s="872"/>
      <c r="B31" s="873"/>
      <c r="C31" s="874"/>
      <c r="E31" s="210" t="str">
        <f t="shared" si="0"/>
        <v xml:space="preserve"> - </v>
      </c>
    </row>
    <row r="32" spans="1:5" x14ac:dyDescent="0.25">
      <c r="A32" s="872"/>
      <c r="B32" s="873"/>
      <c r="C32" s="874"/>
      <c r="E32" s="210" t="str">
        <f t="shared" si="0"/>
        <v xml:space="preserve"> - </v>
      </c>
    </row>
    <row r="33" spans="1:5" x14ac:dyDescent="0.25">
      <c r="A33" s="872"/>
      <c r="B33" s="873"/>
      <c r="C33" s="874"/>
      <c r="E33" s="210" t="str">
        <f t="shared" si="0"/>
        <v xml:space="preserve"> - </v>
      </c>
    </row>
    <row r="34" spans="1:5" x14ac:dyDescent="0.25">
      <c r="A34" s="872"/>
      <c r="B34" s="873"/>
      <c r="C34" s="874"/>
      <c r="E34" s="210" t="str">
        <f t="shared" si="0"/>
        <v xml:space="preserve"> - </v>
      </c>
    </row>
    <row r="35" spans="1:5" x14ac:dyDescent="0.25">
      <c r="A35" s="872"/>
      <c r="B35" s="873"/>
      <c r="C35" s="874"/>
      <c r="E35" s="210" t="str">
        <f t="shared" si="0"/>
        <v xml:space="preserve"> - </v>
      </c>
    </row>
    <row r="36" spans="1:5" x14ac:dyDescent="0.25">
      <c r="A36" s="872"/>
      <c r="B36" s="873"/>
      <c r="C36" s="874"/>
      <c r="E36" s="210" t="str">
        <f t="shared" si="0"/>
        <v xml:space="preserve"> - </v>
      </c>
    </row>
    <row r="37" spans="1:5" x14ac:dyDescent="0.25">
      <c r="A37" s="872"/>
      <c r="B37" s="873"/>
      <c r="C37" s="874"/>
      <c r="E37" s="210" t="str">
        <f t="shared" si="0"/>
        <v xml:space="preserve"> - </v>
      </c>
    </row>
    <row r="38" spans="1:5" x14ac:dyDescent="0.25">
      <c r="A38" s="872"/>
      <c r="B38" s="873"/>
      <c r="C38" s="874"/>
      <c r="E38" s="210" t="str">
        <f t="shared" si="0"/>
        <v xml:space="preserve"> - </v>
      </c>
    </row>
    <row r="39" spans="1:5" x14ac:dyDescent="0.25">
      <c r="A39" s="872"/>
      <c r="B39" s="873"/>
      <c r="C39" s="874"/>
      <c r="E39" s="210" t="str">
        <f t="shared" si="0"/>
        <v xml:space="preserve"> - </v>
      </c>
    </row>
    <row r="40" spans="1:5" x14ac:dyDescent="0.25">
      <c r="A40" s="872"/>
      <c r="B40" s="873"/>
      <c r="C40" s="874"/>
      <c r="E40" s="210" t="str">
        <f t="shared" si="0"/>
        <v xml:space="preserve"> - </v>
      </c>
    </row>
    <row r="41" spans="1:5" x14ac:dyDescent="0.25">
      <c r="A41" s="872"/>
      <c r="B41" s="873"/>
      <c r="C41" s="874"/>
      <c r="E41" s="210" t="str">
        <f t="shared" si="0"/>
        <v xml:space="preserve"> - </v>
      </c>
    </row>
    <row r="42" spans="1:5" x14ac:dyDescent="0.25">
      <c r="A42" s="872"/>
      <c r="B42" s="873"/>
      <c r="C42" s="874"/>
      <c r="E42" s="210" t="str">
        <f t="shared" si="0"/>
        <v xml:space="preserve"> - </v>
      </c>
    </row>
    <row r="43" spans="1:5" x14ac:dyDescent="0.25">
      <c r="A43" s="872"/>
      <c r="B43" s="873"/>
      <c r="C43" s="874"/>
      <c r="E43" s="210" t="str">
        <f t="shared" si="0"/>
        <v xml:space="preserve"> - </v>
      </c>
    </row>
    <row r="44" spans="1:5" ht="15.75" thickBot="1" x14ac:dyDescent="0.3">
      <c r="A44" s="875"/>
      <c r="B44" s="876"/>
      <c r="C44" s="877"/>
      <c r="E44" s="210"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0" hidden="1" customWidth="1"/>
    <col min="2" max="3" width="24.5703125" style="210" customWidth="1"/>
    <col min="4" max="4" width="44.85546875" style="210" customWidth="1"/>
    <col min="5" max="257" width="24.5703125" style="210"/>
    <col min="258" max="259" width="24.5703125" style="210" customWidth="1"/>
    <col min="260" max="260" width="44.85546875" style="210" customWidth="1"/>
    <col min="261" max="513" width="24.5703125" style="210"/>
    <col min="514" max="515" width="24.5703125" style="210" customWidth="1"/>
    <col min="516" max="516" width="44.85546875" style="210" customWidth="1"/>
    <col min="517" max="769" width="24.5703125" style="210"/>
    <col min="770" max="771" width="24.5703125" style="210" customWidth="1"/>
    <col min="772" max="772" width="44.85546875" style="210" customWidth="1"/>
    <col min="773" max="1025" width="24.5703125" style="210"/>
    <col min="1026" max="1027" width="24.5703125" style="210" customWidth="1"/>
    <col min="1028" max="1028" width="44.85546875" style="210" customWidth="1"/>
    <col min="1029" max="1281" width="24.5703125" style="210"/>
    <col min="1282" max="1283" width="24.5703125" style="210" customWidth="1"/>
    <col min="1284" max="1284" width="44.85546875" style="210" customWidth="1"/>
    <col min="1285" max="1537" width="24.5703125" style="210"/>
    <col min="1538" max="1539" width="24.5703125" style="210" customWidth="1"/>
    <col min="1540" max="1540" width="44.85546875" style="210" customWidth="1"/>
    <col min="1541" max="1793" width="24.5703125" style="210"/>
    <col min="1794" max="1795" width="24.5703125" style="210" customWidth="1"/>
    <col min="1796" max="1796" width="44.85546875" style="210" customWidth="1"/>
    <col min="1797" max="2049" width="24.5703125" style="210"/>
    <col min="2050" max="2051" width="24.5703125" style="210" customWidth="1"/>
    <col min="2052" max="2052" width="44.85546875" style="210" customWidth="1"/>
    <col min="2053" max="2305" width="24.5703125" style="210"/>
    <col min="2306" max="2307" width="24.5703125" style="210" customWidth="1"/>
    <col min="2308" max="2308" width="44.85546875" style="210" customWidth="1"/>
    <col min="2309" max="2561" width="24.5703125" style="210"/>
    <col min="2562" max="2563" width="24.5703125" style="210" customWidth="1"/>
    <col min="2564" max="2564" width="44.85546875" style="210" customWidth="1"/>
    <col min="2565" max="2817" width="24.5703125" style="210"/>
    <col min="2818" max="2819" width="24.5703125" style="210" customWidth="1"/>
    <col min="2820" max="2820" width="44.85546875" style="210" customWidth="1"/>
    <col min="2821" max="3073" width="24.5703125" style="210"/>
    <col min="3074" max="3075" width="24.5703125" style="210" customWidth="1"/>
    <col min="3076" max="3076" width="44.85546875" style="210" customWidth="1"/>
    <col min="3077" max="3329" width="24.5703125" style="210"/>
    <col min="3330" max="3331" width="24.5703125" style="210" customWidth="1"/>
    <col min="3332" max="3332" width="44.85546875" style="210" customWidth="1"/>
    <col min="3333" max="3585" width="24.5703125" style="210"/>
    <col min="3586" max="3587" width="24.5703125" style="210" customWidth="1"/>
    <col min="3588" max="3588" width="44.85546875" style="210" customWidth="1"/>
    <col min="3589" max="3841" width="24.5703125" style="210"/>
    <col min="3842" max="3843" width="24.5703125" style="210" customWidth="1"/>
    <col min="3844" max="3844" width="44.85546875" style="210" customWidth="1"/>
    <col min="3845" max="4097" width="24.5703125" style="210"/>
    <col min="4098" max="4099" width="24.5703125" style="210" customWidth="1"/>
    <col min="4100" max="4100" width="44.85546875" style="210" customWidth="1"/>
    <col min="4101" max="4353" width="24.5703125" style="210"/>
    <col min="4354" max="4355" width="24.5703125" style="210" customWidth="1"/>
    <col min="4356" max="4356" width="44.85546875" style="210" customWidth="1"/>
    <col min="4357" max="4609" width="24.5703125" style="210"/>
    <col min="4610" max="4611" width="24.5703125" style="210" customWidth="1"/>
    <col min="4612" max="4612" width="44.85546875" style="210" customWidth="1"/>
    <col min="4613" max="4865" width="24.5703125" style="210"/>
    <col min="4866" max="4867" width="24.5703125" style="210" customWidth="1"/>
    <col min="4868" max="4868" width="44.85546875" style="210" customWidth="1"/>
    <col min="4869" max="5121" width="24.5703125" style="210"/>
    <col min="5122" max="5123" width="24.5703125" style="210" customWidth="1"/>
    <col min="5124" max="5124" width="44.85546875" style="210" customWidth="1"/>
    <col min="5125" max="5377" width="24.5703125" style="210"/>
    <col min="5378" max="5379" width="24.5703125" style="210" customWidth="1"/>
    <col min="5380" max="5380" width="44.85546875" style="210" customWidth="1"/>
    <col min="5381" max="5633" width="24.5703125" style="210"/>
    <col min="5634" max="5635" width="24.5703125" style="210" customWidth="1"/>
    <col min="5636" max="5636" width="44.85546875" style="210" customWidth="1"/>
    <col min="5637" max="5889" width="24.5703125" style="210"/>
    <col min="5890" max="5891" width="24.5703125" style="210" customWidth="1"/>
    <col min="5892" max="5892" width="44.85546875" style="210" customWidth="1"/>
    <col min="5893" max="6145" width="24.5703125" style="210"/>
    <col min="6146" max="6147" width="24.5703125" style="210" customWidth="1"/>
    <col min="6148" max="6148" width="44.85546875" style="210" customWidth="1"/>
    <col min="6149" max="6401" width="24.5703125" style="210"/>
    <col min="6402" max="6403" width="24.5703125" style="210" customWidth="1"/>
    <col min="6404" max="6404" width="44.85546875" style="210" customWidth="1"/>
    <col min="6405" max="6657" width="24.5703125" style="210"/>
    <col min="6658" max="6659" width="24.5703125" style="210" customWidth="1"/>
    <col min="6660" max="6660" width="44.85546875" style="210" customWidth="1"/>
    <col min="6661" max="6913" width="24.5703125" style="210"/>
    <col min="6914" max="6915" width="24.5703125" style="210" customWidth="1"/>
    <col min="6916" max="6916" width="44.85546875" style="210" customWidth="1"/>
    <col min="6917" max="7169" width="24.5703125" style="210"/>
    <col min="7170" max="7171" width="24.5703125" style="210" customWidth="1"/>
    <col min="7172" max="7172" width="44.85546875" style="210" customWidth="1"/>
    <col min="7173" max="7425" width="24.5703125" style="210"/>
    <col min="7426" max="7427" width="24.5703125" style="210" customWidth="1"/>
    <col min="7428" max="7428" width="44.85546875" style="210" customWidth="1"/>
    <col min="7429" max="7681" width="24.5703125" style="210"/>
    <col min="7682" max="7683" width="24.5703125" style="210" customWidth="1"/>
    <col min="7684" max="7684" width="44.85546875" style="210" customWidth="1"/>
    <col min="7685" max="7937" width="24.5703125" style="210"/>
    <col min="7938" max="7939" width="24.5703125" style="210" customWidth="1"/>
    <col min="7940" max="7940" width="44.85546875" style="210" customWidth="1"/>
    <col min="7941" max="8193" width="24.5703125" style="210"/>
    <col min="8194" max="8195" width="24.5703125" style="210" customWidth="1"/>
    <col min="8196" max="8196" width="44.85546875" style="210" customWidth="1"/>
    <col min="8197" max="8449" width="24.5703125" style="210"/>
    <col min="8450" max="8451" width="24.5703125" style="210" customWidth="1"/>
    <col min="8452" max="8452" width="44.85546875" style="210" customWidth="1"/>
    <col min="8453" max="8705" width="24.5703125" style="210"/>
    <col min="8706" max="8707" width="24.5703125" style="210" customWidth="1"/>
    <col min="8708" max="8708" width="44.85546875" style="210" customWidth="1"/>
    <col min="8709" max="8961" width="24.5703125" style="210"/>
    <col min="8962" max="8963" width="24.5703125" style="210" customWidth="1"/>
    <col min="8964" max="8964" width="44.85546875" style="210" customWidth="1"/>
    <col min="8965" max="9217" width="24.5703125" style="210"/>
    <col min="9218" max="9219" width="24.5703125" style="210" customWidth="1"/>
    <col min="9220" max="9220" width="44.85546875" style="210" customWidth="1"/>
    <col min="9221" max="9473" width="24.5703125" style="210"/>
    <col min="9474" max="9475" width="24.5703125" style="210" customWidth="1"/>
    <col min="9476" max="9476" width="44.85546875" style="210" customWidth="1"/>
    <col min="9477" max="9729" width="24.5703125" style="210"/>
    <col min="9730" max="9731" width="24.5703125" style="210" customWidth="1"/>
    <col min="9732" max="9732" width="44.85546875" style="210" customWidth="1"/>
    <col min="9733" max="9985" width="24.5703125" style="210"/>
    <col min="9986" max="9987" width="24.5703125" style="210" customWidth="1"/>
    <col min="9988" max="9988" width="44.85546875" style="210" customWidth="1"/>
    <col min="9989" max="10241" width="24.5703125" style="210"/>
    <col min="10242" max="10243" width="24.5703125" style="210" customWidth="1"/>
    <col min="10244" max="10244" width="44.85546875" style="210" customWidth="1"/>
    <col min="10245" max="10497" width="24.5703125" style="210"/>
    <col min="10498" max="10499" width="24.5703125" style="210" customWidth="1"/>
    <col min="10500" max="10500" width="44.85546875" style="210" customWidth="1"/>
    <col min="10501" max="10753" width="24.5703125" style="210"/>
    <col min="10754" max="10755" width="24.5703125" style="210" customWidth="1"/>
    <col min="10756" max="10756" width="44.85546875" style="210" customWidth="1"/>
    <col min="10757" max="11009" width="24.5703125" style="210"/>
    <col min="11010" max="11011" width="24.5703125" style="210" customWidth="1"/>
    <col min="11012" max="11012" width="44.85546875" style="210" customWidth="1"/>
    <col min="11013" max="11265" width="24.5703125" style="210"/>
    <col min="11266" max="11267" width="24.5703125" style="210" customWidth="1"/>
    <col min="11268" max="11268" width="44.85546875" style="210" customWidth="1"/>
    <col min="11269" max="11521" width="24.5703125" style="210"/>
    <col min="11522" max="11523" width="24.5703125" style="210" customWidth="1"/>
    <col min="11524" max="11524" width="44.85546875" style="210" customWidth="1"/>
    <col min="11525" max="11777" width="24.5703125" style="210"/>
    <col min="11778" max="11779" width="24.5703125" style="210" customWidth="1"/>
    <col min="11780" max="11780" width="44.85546875" style="210" customWidth="1"/>
    <col min="11781" max="12033" width="24.5703125" style="210"/>
    <col min="12034" max="12035" width="24.5703125" style="210" customWidth="1"/>
    <col min="12036" max="12036" width="44.85546875" style="210" customWidth="1"/>
    <col min="12037" max="12289" width="24.5703125" style="210"/>
    <col min="12290" max="12291" width="24.5703125" style="210" customWidth="1"/>
    <col min="12292" max="12292" width="44.85546875" style="210" customWidth="1"/>
    <col min="12293" max="12545" width="24.5703125" style="210"/>
    <col min="12546" max="12547" width="24.5703125" style="210" customWidth="1"/>
    <col min="12548" max="12548" width="44.85546875" style="210" customWidth="1"/>
    <col min="12549" max="12801" width="24.5703125" style="210"/>
    <col min="12802" max="12803" width="24.5703125" style="210" customWidth="1"/>
    <col min="12804" max="12804" width="44.85546875" style="210" customWidth="1"/>
    <col min="12805" max="13057" width="24.5703125" style="210"/>
    <col min="13058" max="13059" width="24.5703125" style="210" customWidth="1"/>
    <col min="13060" max="13060" width="44.85546875" style="210" customWidth="1"/>
    <col min="13061" max="13313" width="24.5703125" style="210"/>
    <col min="13314" max="13315" width="24.5703125" style="210" customWidth="1"/>
    <col min="13316" max="13316" width="44.85546875" style="210" customWidth="1"/>
    <col min="13317" max="13569" width="24.5703125" style="210"/>
    <col min="13570" max="13571" width="24.5703125" style="210" customWidth="1"/>
    <col min="13572" max="13572" width="44.85546875" style="210" customWidth="1"/>
    <col min="13573" max="13825" width="24.5703125" style="210"/>
    <col min="13826" max="13827" width="24.5703125" style="210" customWidth="1"/>
    <col min="13828" max="13828" width="44.85546875" style="210" customWidth="1"/>
    <col min="13829" max="14081" width="24.5703125" style="210"/>
    <col min="14082" max="14083" width="24.5703125" style="210" customWidth="1"/>
    <col min="14084" max="14084" width="44.85546875" style="210" customWidth="1"/>
    <col min="14085" max="14337" width="24.5703125" style="210"/>
    <col min="14338" max="14339" width="24.5703125" style="210" customWidth="1"/>
    <col min="14340" max="14340" width="44.85546875" style="210" customWidth="1"/>
    <col min="14341" max="14593" width="24.5703125" style="210"/>
    <col min="14594" max="14595" width="24.5703125" style="210" customWidth="1"/>
    <col min="14596" max="14596" width="44.85546875" style="210" customWidth="1"/>
    <col min="14597" max="14849" width="24.5703125" style="210"/>
    <col min="14850" max="14851" width="24.5703125" style="210" customWidth="1"/>
    <col min="14852" max="14852" width="44.85546875" style="210" customWidth="1"/>
    <col min="14853" max="15105" width="24.5703125" style="210"/>
    <col min="15106" max="15107" width="24.5703125" style="210" customWidth="1"/>
    <col min="15108" max="15108" width="44.85546875" style="210" customWidth="1"/>
    <col min="15109" max="15361" width="24.5703125" style="210"/>
    <col min="15362" max="15363" width="24.5703125" style="210" customWidth="1"/>
    <col min="15364" max="15364" width="44.85546875" style="210" customWidth="1"/>
    <col min="15365" max="15617" width="24.5703125" style="210"/>
    <col min="15618" max="15619" width="24.5703125" style="210" customWidth="1"/>
    <col min="15620" max="15620" width="44.85546875" style="210" customWidth="1"/>
    <col min="15621" max="15873" width="24.5703125" style="210"/>
    <col min="15874" max="15875" width="24.5703125" style="210" customWidth="1"/>
    <col min="15876" max="15876" width="44.85546875" style="210" customWidth="1"/>
    <col min="15877" max="16129" width="24.5703125" style="210"/>
    <col min="16130" max="16131" width="24.5703125" style="210" customWidth="1"/>
    <col min="16132" max="16132" width="44.85546875" style="210" customWidth="1"/>
    <col min="16133" max="16384" width="24.5703125" style="210"/>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0" t="str">
        <f>+LEFT(B3,10)</f>
        <v>E2.P_E.MR1</v>
      </c>
      <c r="B3" s="99" t="s">
        <v>347</v>
      </c>
      <c r="C3" s="100" t="s">
        <v>1787</v>
      </c>
      <c r="D3" s="101" t="s">
        <v>1788</v>
      </c>
    </row>
    <row r="4" spans="1:4" ht="126" x14ac:dyDescent="0.25">
      <c r="A4" s="210" t="str">
        <f t="shared" ref="A4:A67" si="0">+LEFT(B4,10)</f>
        <v>E2.P_B.MR1</v>
      </c>
      <c r="B4" s="99" t="s">
        <v>311</v>
      </c>
      <c r="C4" s="100" t="s">
        <v>1789</v>
      </c>
      <c r="D4" s="101" t="s">
        <v>1790</v>
      </c>
    </row>
    <row r="5" spans="1:4" ht="63" x14ac:dyDescent="0.25">
      <c r="A5" s="210" t="str">
        <f t="shared" si="0"/>
        <v>E4.P_D.MR2</v>
      </c>
      <c r="B5" s="99" t="s">
        <v>596</v>
      </c>
      <c r="C5" s="100" t="s">
        <v>1791</v>
      </c>
      <c r="D5" s="101" t="s">
        <v>1792</v>
      </c>
    </row>
    <row r="6" spans="1:4" ht="126" x14ac:dyDescent="0.25">
      <c r="A6" s="210" t="str">
        <f t="shared" si="0"/>
        <v>E4.P_D.MR1</v>
      </c>
      <c r="B6" s="99" t="s">
        <v>587</v>
      </c>
      <c r="C6" s="100" t="s">
        <v>1793</v>
      </c>
      <c r="D6" s="101" t="s">
        <v>1794</v>
      </c>
    </row>
    <row r="7" spans="1:4" ht="126" x14ac:dyDescent="0.25">
      <c r="A7" s="210" t="str">
        <f t="shared" si="0"/>
        <v>E1.P_A.MR5</v>
      </c>
      <c r="B7" s="99" t="s">
        <v>140</v>
      </c>
      <c r="C7" s="100" t="s">
        <v>1795</v>
      </c>
      <c r="D7" s="101" t="s">
        <v>1796</v>
      </c>
    </row>
    <row r="8" spans="1:4" ht="78.75" x14ac:dyDescent="0.25">
      <c r="A8" s="210" t="str">
        <f t="shared" si="0"/>
        <v>E3.P_G.MR1</v>
      </c>
      <c r="B8" s="99" t="s">
        <v>465</v>
      </c>
      <c r="C8" s="100" t="s">
        <v>1797</v>
      </c>
      <c r="D8" s="101" t="s">
        <v>1798</v>
      </c>
    </row>
    <row r="9" spans="1:4" ht="61.5" customHeight="1" x14ac:dyDescent="0.25">
      <c r="A9" s="210" t="str">
        <f t="shared" si="0"/>
        <v>E3.P_H.MR1</v>
      </c>
      <c r="B9" s="99" t="s">
        <v>473</v>
      </c>
      <c r="C9" s="100" t="s">
        <v>1799</v>
      </c>
      <c r="D9" s="101" t="s">
        <v>1800</v>
      </c>
    </row>
    <row r="10" spans="1:4" ht="78.75" x14ac:dyDescent="0.25">
      <c r="A10" s="210" t="str">
        <f t="shared" si="0"/>
        <v>E3.P_I.MR1</v>
      </c>
      <c r="B10" s="99" t="s">
        <v>481</v>
      </c>
      <c r="C10" s="100" t="s">
        <v>1801</v>
      </c>
      <c r="D10" s="101" t="s">
        <v>1802</v>
      </c>
    </row>
    <row r="11" spans="1:4" ht="94.5" x14ac:dyDescent="0.25">
      <c r="A11" s="210" t="str">
        <f t="shared" si="0"/>
        <v>E3.P_J.MR1</v>
      </c>
      <c r="B11" s="99" t="s">
        <v>489</v>
      </c>
      <c r="C11" s="100" t="s">
        <v>1803</v>
      </c>
      <c r="D11" s="101" t="s">
        <v>1804</v>
      </c>
    </row>
    <row r="12" spans="1:4" ht="90.75" customHeight="1" x14ac:dyDescent="0.25">
      <c r="A12" s="210" t="str">
        <f t="shared" si="0"/>
        <v>E3.P_K.MR1</v>
      </c>
      <c r="B12" s="99" t="s">
        <v>497</v>
      </c>
      <c r="C12" s="100" t="s">
        <v>1805</v>
      </c>
      <c r="D12" s="101" t="s">
        <v>1806</v>
      </c>
    </row>
    <row r="13" spans="1:4" ht="94.5" x14ac:dyDescent="0.25">
      <c r="A13" s="210" t="str">
        <f t="shared" si="0"/>
        <v>E2.P_C.MR1</v>
      </c>
      <c r="B13" s="99" t="s">
        <v>322</v>
      </c>
      <c r="C13" s="100" t="s">
        <v>1807</v>
      </c>
      <c r="D13" s="101" t="s">
        <v>1808</v>
      </c>
    </row>
    <row r="14" spans="1:4" ht="78.75" x14ac:dyDescent="0.25">
      <c r="A14" s="210" t="str">
        <f t="shared" si="0"/>
        <v>E3.P_F.MR1</v>
      </c>
      <c r="B14" s="99" t="s">
        <v>457</v>
      </c>
      <c r="C14" s="100" t="s">
        <v>1809</v>
      </c>
      <c r="D14" s="101" t="s">
        <v>1810</v>
      </c>
    </row>
    <row r="15" spans="1:4" ht="78" customHeight="1" x14ac:dyDescent="0.25">
      <c r="A15" s="210" t="str">
        <f t="shared" si="0"/>
        <v>E2.P_D.MR1</v>
      </c>
      <c r="B15" s="99" t="s">
        <v>336</v>
      </c>
      <c r="C15" s="100" t="s">
        <v>1811</v>
      </c>
      <c r="D15" s="101" t="s">
        <v>1812</v>
      </c>
    </row>
    <row r="16" spans="1:4" ht="67.5" customHeight="1" x14ac:dyDescent="0.25">
      <c r="A16" s="210" t="str">
        <f t="shared" si="0"/>
        <v>E1.P_E.MR1</v>
      </c>
      <c r="B16" s="99" t="s">
        <v>207</v>
      </c>
      <c r="C16" s="100" t="s">
        <v>1813</v>
      </c>
      <c r="D16" s="101" t="s">
        <v>1814</v>
      </c>
    </row>
    <row r="17" spans="1:4" ht="110.25" x14ac:dyDescent="0.25">
      <c r="A17" s="210" t="str">
        <f t="shared" si="0"/>
        <v>E1.P_H.MR1</v>
      </c>
      <c r="B17" s="99" t="s">
        <v>263</v>
      </c>
      <c r="C17" s="100" t="s">
        <v>1815</v>
      </c>
      <c r="D17" s="101" t="s">
        <v>1816</v>
      </c>
    </row>
    <row r="18" spans="1:4" ht="78" customHeight="1" x14ac:dyDescent="0.25">
      <c r="A18" s="210" t="str">
        <f t="shared" si="0"/>
        <v>E1.P_C.MR1</v>
      </c>
      <c r="B18" s="99" t="s">
        <v>185</v>
      </c>
      <c r="C18" s="100" t="s">
        <v>1817</v>
      </c>
      <c r="D18" s="101" t="s">
        <v>1818</v>
      </c>
    </row>
    <row r="19" spans="1:4" ht="141.75" x14ac:dyDescent="0.25">
      <c r="A19" s="210" t="str">
        <f t="shared" si="0"/>
        <v>E1.P_D.MR1</v>
      </c>
      <c r="B19" s="99" t="s">
        <v>196</v>
      </c>
      <c r="C19" s="100" t="s">
        <v>1819</v>
      </c>
      <c r="D19" s="101" t="s">
        <v>1820</v>
      </c>
    </row>
    <row r="20" spans="1:4" ht="63" x14ac:dyDescent="0.25">
      <c r="A20" s="210" t="str">
        <f t="shared" si="0"/>
        <v>E1.P_A.MR4</v>
      </c>
      <c r="B20" s="99" t="s">
        <v>130</v>
      </c>
      <c r="C20" s="100" t="s">
        <v>1821</v>
      </c>
      <c r="D20" s="101" t="s">
        <v>1822</v>
      </c>
    </row>
    <row r="21" spans="1:4" ht="47.25" x14ac:dyDescent="0.25">
      <c r="A21" s="210" t="str">
        <f t="shared" si="0"/>
        <v>E4.P_A.MR1</v>
      </c>
      <c r="B21" s="99" t="s">
        <v>539</v>
      </c>
      <c r="C21" s="100" t="s">
        <v>1823</v>
      </c>
      <c r="D21" s="101" t="s">
        <v>1824</v>
      </c>
    </row>
    <row r="22" spans="1:4" ht="47.25" x14ac:dyDescent="0.25">
      <c r="A22" s="210" t="str">
        <f t="shared" si="0"/>
        <v>E4.P_A.MR2</v>
      </c>
      <c r="B22" s="99" t="s">
        <v>549</v>
      </c>
      <c r="C22" s="100" t="s">
        <v>1825</v>
      </c>
      <c r="D22" s="101" t="s">
        <v>1826</v>
      </c>
    </row>
    <row r="23" spans="1:4" ht="96" customHeight="1" x14ac:dyDescent="0.25">
      <c r="A23" s="210" t="str">
        <f t="shared" si="0"/>
        <v>E1.P_F.MR1</v>
      </c>
      <c r="B23" s="99" t="s">
        <v>222</v>
      </c>
      <c r="C23" s="100" t="s">
        <v>1827</v>
      </c>
      <c r="D23" s="101" t="s">
        <v>1828</v>
      </c>
    </row>
    <row r="24" spans="1:4" ht="63.75" customHeight="1" x14ac:dyDescent="0.25">
      <c r="A24" s="210" t="str">
        <f t="shared" si="0"/>
        <v>E4.P_A.MR3</v>
      </c>
      <c r="B24" s="99" t="s">
        <v>556</v>
      </c>
      <c r="C24" s="100" t="s">
        <v>1829</v>
      </c>
      <c r="D24" s="101" t="s">
        <v>1830</v>
      </c>
    </row>
    <row r="25" spans="1:4" ht="66" customHeight="1" x14ac:dyDescent="0.25">
      <c r="A25" s="210" t="str">
        <f t="shared" si="0"/>
        <v>E1.P_F.MR2</v>
      </c>
      <c r="B25" s="99" t="s">
        <v>234</v>
      </c>
      <c r="C25" s="100" t="s">
        <v>1831</v>
      </c>
      <c r="D25" s="101" t="s">
        <v>1832</v>
      </c>
    </row>
    <row r="26" spans="1:4" ht="110.25" x14ac:dyDescent="0.25">
      <c r="A26" s="210" t="str">
        <f t="shared" si="0"/>
        <v>E4.P_A.MR4</v>
      </c>
      <c r="B26" s="99" t="s">
        <v>563</v>
      </c>
      <c r="C26" s="100" t="s">
        <v>1833</v>
      </c>
      <c r="D26" s="101" t="s">
        <v>1834</v>
      </c>
    </row>
    <row r="27" spans="1:4" ht="63" x14ac:dyDescent="0.25">
      <c r="A27" s="210" t="str">
        <f t="shared" si="0"/>
        <v>E1.P_A.MR2</v>
      </c>
      <c r="B27" s="99" t="s">
        <v>110</v>
      </c>
      <c r="C27" s="100" t="s">
        <v>1835</v>
      </c>
      <c r="D27" s="101" t="s">
        <v>1836</v>
      </c>
    </row>
    <row r="28" spans="1:4" ht="64.5" customHeight="1" x14ac:dyDescent="0.25">
      <c r="A28" s="210" t="str">
        <f t="shared" si="0"/>
        <v>E1.P_J.MR1</v>
      </c>
      <c r="B28" s="99" t="s">
        <v>288</v>
      </c>
      <c r="C28" s="100" t="s">
        <v>1837</v>
      </c>
      <c r="D28" s="101" t="s">
        <v>1838</v>
      </c>
    </row>
    <row r="29" spans="1:4" ht="78.75" customHeight="1" x14ac:dyDescent="0.25">
      <c r="A29" s="210" t="str">
        <f t="shared" si="0"/>
        <v>E3.P_B.MR1</v>
      </c>
      <c r="B29" s="99" t="s">
        <v>395</v>
      </c>
      <c r="C29" s="100" t="s">
        <v>1839</v>
      </c>
      <c r="D29" s="101" t="s">
        <v>1840</v>
      </c>
    </row>
    <row r="30" spans="1:4" ht="108.75" customHeight="1" x14ac:dyDescent="0.25">
      <c r="A30" s="210" t="str">
        <f t="shared" si="0"/>
        <v>E4.P_C.MR1</v>
      </c>
      <c r="B30" s="99" t="s">
        <v>579</v>
      </c>
      <c r="C30" s="100" t="s">
        <v>1841</v>
      </c>
      <c r="D30" s="101" t="s">
        <v>1842</v>
      </c>
    </row>
    <row r="31" spans="1:4" ht="65.25" customHeight="1" x14ac:dyDescent="0.25">
      <c r="A31" s="210" t="str">
        <f t="shared" si="0"/>
        <v>E2.P_A.MR1</v>
      </c>
      <c r="B31" s="99" t="s">
        <v>299</v>
      </c>
      <c r="C31" s="100" t="s">
        <v>1843</v>
      </c>
      <c r="D31" s="101" t="s">
        <v>1844</v>
      </c>
    </row>
    <row r="32" spans="1:4" ht="93" customHeight="1" x14ac:dyDescent="0.25">
      <c r="A32" s="210" t="str">
        <f t="shared" si="0"/>
        <v>E1.P_G.MR1</v>
      </c>
      <c r="B32" s="99" t="s">
        <v>243</v>
      </c>
      <c r="C32" s="100" t="s">
        <v>1845</v>
      </c>
      <c r="D32" s="101" t="s">
        <v>1846</v>
      </c>
    </row>
    <row r="33" spans="1:4" ht="81" customHeight="1" x14ac:dyDescent="0.25">
      <c r="A33" s="210" t="str">
        <f t="shared" si="0"/>
        <v>E1.P_G.MR2</v>
      </c>
      <c r="B33" s="99" t="s">
        <v>254</v>
      </c>
      <c r="C33" s="100" t="s">
        <v>1847</v>
      </c>
      <c r="D33" s="101" t="s">
        <v>1848</v>
      </c>
    </row>
    <row r="34" spans="1:4" ht="63" customHeight="1" x14ac:dyDescent="0.25">
      <c r="A34" s="210" t="str">
        <f t="shared" si="0"/>
        <v>E3.P_L.MR2</v>
      </c>
      <c r="B34" s="99" t="s">
        <v>513</v>
      </c>
      <c r="C34" s="100" t="s">
        <v>1849</v>
      </c>
      <c r="D34" s="101" t="s">
        <v>1850</v>
      </c>
    </row>
    <row r="35" spans="1:4" ht="78" customHeight="1" x14ac:dyDescent="0.25">
      <c r="A35" s="210" t="str">
        <f t="shared" si="0"/>
        <v>E3.P_L.MR3</v>
      </c>
      <c r="B35" s="99" t="s">
        <v>520</v>
      </c>
      <c r="C35" s="100" t="s">
        <v>1851</v>
      </c>
      <c r="D35" s="101" t="s">
        <v>1852</v>
      </c>
    </row>
    <row r="36" spans="1:4" ht="63.75" customHeight="1" x14ac:dyDescent="0.25">
      <c r="A36" s="210" t="str">
        <f t="shared" si="0"/>
        <v>E2.P_F.MR1</v>
      </c>
      <c r="B36" s="99" t="s">
        <v>358</v>
      </c>
      <c r="C36" s="100" t="s">
        <v>1853</v>
      </c>
      <c r="D36" s="101" t="s">
        <v>1854</v>
      </c>
    </row>
    <row r="37" spans="1:4" ht="110.25" x14ac:dyDescent="0.25">
      <c r="A37" s="210" t="str">
        <f t="shared" si="0"/>
        <v>E3.P_A.MR1</v>
      </c>
      <c r="B37" s="99" t="s">
        <v>383</v>
      </c>
      <c r="C37" s="100" t="s">
        <v>1855</v>
      </c>
      <c r="D37" s="101" t="s">
        <v>1856</v>
      </c>
    </row>
    <row r="38" spans="1:4" ht="94.5" x14ac:dyDescent="0.25">
      <c r="A38" s="210" t="str">
        <f t="shared" si="0"/>
        <v>E2.P_F.MR2</v>
      </c>
      <c r="B38" s="99" t="s">
        <v>369</v>
      </c>
      <c r="C38" s="100" t="s">
        <v>1857</v>
      </c>
      <c r="D38" s="101" t="s">
        <v>1858</v>
      </c>
    </row>
    <row r="39" spans="1:4" ht="78.75" x14ac:dyDescent="0.25">
      <c r="A39" s="210" t="str">
        <f t="shared" si="0"/>
        <v>E1.P_B.MR1</v>
      </c>
      <c r="B39" s="99" t="s">
        <v>150</v>
      </c>
      <c r="C39" s="100" t="s">
        <v>1859</v>
      </c>
      <c r="D39" s="101" t="s">
        <v>1860</v>
      </c>
    </row>
    <row r="40" spans="1:4" ht="157.5" x14ac:dyDescent="0.25">
      <c r="A40" s="210" t="str">
        <f t="shared" si="0"/>
        <v>E3.P_E.MR1</v>
      </c>
      <c r="B40" s="99" t="s">
        <v>446</v>
      </c>
      <c r="C40" s="100" t="s">
        <v>1861</v>
      </c>
      <c r="D40" s="101" t="s">
        <v>1862</v>
      </c>
    </row>
    <row r="41" spans="1:4" ht="110.25" x14ac:dyDescent="0.25">
      <c r="A41" s="210" t="str">
        <f t="shared" si="0"/>
        <v>E1.P_B.MR2</v>
      </c>
      <c r="B41" s="99" t="s">
        <v>164</v>
      </c>
      <c r="C41" s="100" t="s">
        <v>1863</v>
      </c>
      <c r="D41" s="101" t="s">
        <v>1864</v>
      </c>
    </row>
    <row r="42" spans="1:4" ht="157.5" x14ac:dyDescent="0.25">
      <c r="A42" s="210" t="str">
        <f t="shared" si="0"/>
        <v>E1.P_B.MR3</v>
      </c>
      <c r="B42" s="99" t="s">
        <v>176</v>
      </c>
      <c r="C42" s="100" t="s">
        <v>1865</v>
      </c>
      <c r="D42" s="101" t="s">
        <v>1866</v>
      </c>
    </row>
    <row r="43" spans="1:4" ht="78.75" x14ac:dyDescent="0.25">
      <c r="A43" s="210" t="str">
        <f t="shared" si="0"/>
        <v>E3.P_C.MR1</v>
      </c>
      <c r="B43" s="99" t="s">
        <v>406</v>
      </c>
      <c r="C43" s="100" t="s">
        <v>1867</v>
      </c>
      <c r="D43" s="101" t="s">
        <v>1868</v>
      </c>
    </row>
    <row r="44" spans="1:4" ht="51" customHeight="1" x14ac:dyDescent="0.25">
      <c r="A44" s="210" t="str">
        <f t="shared" si="0"/>
        <v>E1.P_A.MR3</v>
      </c>
      <c r="B44" s="99" t="s">
        <v>120</v>
      </c>
      <c r="C44" s="100" t="s">
        <v>1869</v>
      </c>
      <c r="D44" s="101" t="s">
        <v>1870</v>
      </c>
    </row>
    <row r="45" spans="1:4" ht="78.75" x14ac:dyDescent="0.25">
      <c r="A45" s="210" t="str">
        <f t="shared" si="0"/>
        <v>E3.P_L.MR1</v>
      </c>
      <c r="B45" s="99" t="s">
        <v>505</v>
      </c>
      <c r="C45" s="100" t="s">
        <v>1871</v>
      </c>
      <c r="D45" s="101" t="s">
        <v>1872</v>
      </c>
    </row>
    <row r="46" spans="1:4" ht="93.75" customHeight="1" x14ac:dyDescent="0.25">
      <c r="A46" s="210" t="str">
        <f t="shared" si="0"/>
        <v>E1.P_I.MR1</v>
      </c>
      <c r="B46" s="99" t="s">
        <v>277</v>
      </c>
      <c r="C46" s="100" t="s">
        <v>1873</v>
      </c>
      <c r="D46" s="101" t="s">
        <v>1874</v>
      </c>
    </row>
    <row r="47" spans="1:4" ht="110.25" customHeight="1" x14ac:dyDescent="0.25">
      <c r="A47" s="210" t="str">
        <f t="shared" si="0"/>
        <v>E1.P_A.MR1</v>
      </c>
      <c r="B47" s="99" t="s">
        <v>83</v>
      </c>
      <c r="C47" s="100" t="s">
        <v>1875</v>
      </c>
      <c r="D47" s="101" t="s">
        <v>1876</v>
      </c>
    </row>
    <row r="48" spans="1:4" ht="94.5" x14ac:dyDescent="0.25">
      <c r="A48" s="210" t="str">
        <f t="shared" si="0"/>
        <v>E3.P_L.MR4</v>
      </c>
      <c r="B48" s="99" t="s">
        <v>527</v>
      </c>
      <c r="C48" s="100" t="s">
        <v>1877</v>
      </c>
      <c r="D48" s="101" t="s">
        <v>1878</v>
      </c>
    </row>
    <row r="49" spans="1:4" ht="189" x14ac:dyDescent="0.25">
      <c r="A49" s="210" t="str">
        <f t="shared" si="0"/>
        <v>E3.P_C.MR2</v>
      </c>
      <c r="B49" s="99" t="s">
        <v>417</v>
      </c>
      <c r="C49" s="100" t="s">
        <v>1879</v>
      </c>
      <c r="D49" s="101" t="s">
        <v>1880</v>
      </c>
    </row>
    <row r="50" spans="1:4" ht="78.75" x14ac:dyDescent="0.25">
      <c r="A50" s="210" t="str">
        <f t="shared" si="0"/>
        <v>E4.P_E.MR1</v>
      </c>
      <c r="B50" s="99" t="s">
        <v>606</v>
      </c>
      <c r="C50" s="100" t="s">
        <v>1881</v>
      </c>
      <c r="D50" s="101" t="s">
        <v>1882</v>
      </c>
    </row>
    <row r="51" spans="1:4" ht="157.5" x14ac:dyDescent="0.25">
      <c r="A51" s="210" t="str">
        <f t="shared" si="0"/>
        <v>E1.P_A.MR1</v>
      </c>
      <c r="B51" s="99" t="s">
        <v>97</v>
      </c>
      <c r="C51" s="100" t="s">
        <v>1883</v>
      </c>
      <c r="D51" s="101" t="s">
        <v>1884</v>
      </c>
    </row>
    <row r="52" spans="1:4" ht="63" x14ac:dyDescent="0.25">
      <c r="A52" s="210" t="str">
        <f t="shared" si="0"/>
        <v>E4.P_D.MR3</v>
      </c>
      <c r="B52" s="99" t="s">
        <v>601</v>
      </c>
      <c r="C52" s="100" t="s">
        <v>1885</v>
      </c>
      <c r="D52" s="101" t="s">
        <v>1886</v>
      </c>
    </row>
    <row r="53" spans="1:4" ht="126" x14ac:dyDescent="0.25">
      <c r="A53" s="210" t="str">
        <f t="shared" si="0"/>
        <v>E3.P_D.MR1</v>
      </c>
      <c r="B53" s="99" t="s">
        <v>428</v>
      </c>
      <c r="C53" s="100" t="s">
        <v>1887</v>
      </c>
      <c r="D53" s="101" t="s">
        <v>1888</v>
      </c>
    </row>
    <row r="54" spans="1:4" ht="126" x14ac:dyDescent="0.25">
      <c r="A54" s="210" t="str">
        <f t="shared" si="0"/>
        <v>E3.P_D.MR2</v>
      </c>
      <c r="B54" s="99" t="s">
        <v>439</v>
      </c>
      <c r="C54" s="100" t="s">
        <v>1889</v>
      </c>
      <c r="D54" s="101" t="s">
        <v>1888</v>
      </c>
    </row>
    <row r="55" spans="1:4" ht="157.5" x14ac:dyDescent="0.25">
      <c r="A55" s="210" t="str">
        <f t="shared" si="0"/>
        <v>E4.P_B.MR1</v>
      </c>
      <c r="B55" s="99" t="s">
        <v>570</v>
      </c>
      <c r="C55" s="100" t="s">
        <v>1890</v>
      </c>
      <c r="D55" s="101" t="s">
        <v>1891</v>
      </c>
    </row>
    <row r="56" spans="1:4" ht="15.75" x14ac:dyDescent="0.25">
      <c r="A56" s="210" t="str">
        <f t="shared" si="0"/>
        <v/>
      </c>
      <c r="B56" s="99"/>
      <c r="C56" s="100"/>
      <c r="D56" s="101"/>
    </row>
    <row r="57" spans="1:4" ht="15.75" x14ac:dyDescent="0.25">
      <c r="A57" s="210" t="str">
        <f t="shared" si="0"/>
        <v/>
      </c>
      <c r="B57" s="99"/>
      <c r="C57" s="100"/>
      <c r="D57" s="101"/>
    </row>
    <row r="58" spans="1:4" ht="15.75" x14ac:dyDescent="0.25">
      <c r="A58" s="210" t="str">
        <f t="shared" si="0"/>
        <v/>
      </c>
      <c r="B58" s="99"/>
      <c r="C58" s="100"/>
      <c r="D58" s="101"/>
    </row>
    <row r="59" spans="1:4" ht="15.75" x14ac:dyDescent="0.25">
      <c r="A59" s="210" t="str">
        <f t="shared" si="0"/>
        <v/>
      </c>
      <c r="B59" s="99"/>
      <c r="C59" s="100"/>
      <c r="D59" s="101"/>
    </row>
    <row r="60" spans="1:4" ht="15.75" x14ac:dyDescent="0.25">
      <c r="A60" s="210" t="str">
        <f t="shared" si="0"/>
        <v/>
      </c>
      <c r="B60" s="99"/>
      <c r="C60" s="100"/>
      <c r="D60" s="101"/>
    </row>
    <row r="61" spans="1:4" ht="15.75" x14ac:dyDescent="0.25">
      <c r="A61" s="210" t="str">
        <f t="shared" si="0"/>
        <v/>
      </c>
      <c r="B61" s="99"/>
      <c r="C61" s="100"/>
      <c r="D61" s="101"/>
    </row>
    <row r="62" spans="1:4" ht="15.75" x14ac:dyDescent="0.25">
      <c r="A62" s="210" t="str">
        <f t="shared" si="0"/>
        <v/>
      </c>
      <c r="B62" s="99"/>
      <c r="C62" s="100"/>
      <c r="D62" s="101"/>
    </row>
    <row r="63" spans="1:4" ht="15.75" x14ac:dyDescent="0.25">
      <c r="A63" s="210" t="str">
        <f t="shared" si="0"/>
        <v/>
      </c>
      <c r="B63" s="99"/>
      <c r="C63" s="100"/>
      <c r="D63" s="101"/>
    </row>
    <row r="64" spans="1:4" ht="15.75" x14ac:dyDescent="0.25">
      <c r="A64" s="210" t="str">
        <f t="shared" si="0"/>
        <v/>
      </c>
      <c r="B64" s="99"/>
      <c r="C64" s="100"/>
      <c r="D64" s="101"/>
    </row>
    <row r="65" spans="1:4" ht="15.75" x14ac:dyDescent="0.25">
      <c r="A65" s="210" t="str">
        <f t="shared" si="0"/>
        <v/>
      </c>
      <c r="B65" s="99"/>
      <c r="C65" s="100"/>
      <c r="D65" s="101"/>
    </row>
    <row r="66" spans="1:4" ht="15.75" x14ac:dyDescent="0.25">
      <c r="A66" s="210" t="str">
        <f t="shared" si="0"/>
        <v/>
      </c>
      <c r="B66" s="99"/>
      <c r="C66" s="100"/>
      <c r="D66" s="101"/>
    </row>
    <row r="67" spans="1:4" ht="15.75" x14ac:dyDescent="0.25">
      <c r="A67" s="210" t="str">
        <f t="shared" si="0"/>
        <v/>
      </c>
      <c r="B67" s="99"/>
      <c r="C67" s="100"/>
      <c r="D67" s="101"/>
    </row>
    <row r="68" spans="1:4" ht="15.75" x14ac:dyDescent="0.25">
      <c r="A68" s="210" t="str">
        <f t="shared" ref="A68:A82" si="1">+LEFT(B68,10)</f>
        <v/>
      </c>
      <c r="B68" s="99"/>
      <c r="C68" s="100"/>
      <c r="D68" s="101"/>
    </row>
    <row r="69" spans="1:4" ht="15.75" x14ac:dyDescent="0.25">
      <c r="A69" s="210" t="str">
        <f t="shared" si="1"/>
        <v/>
      </c>
      <c r="B69" s="99"/>
      <c r="C69" s="100"/>
      <c r="D69" s="101"/>
    </row>
    <row r="70" spans="1:4" ht="15.75" x14ac:dyDescent="0.25">
      <c r="A70" s="210" t="str">
        <f t="shared" si="1"/>
        <v/>
      </c>
      <c r="B70" s="99"/>
      <c r="C70" s="100"/>
      <c r="D70" s="101"/>
    </row>
    <row r="71" spans="1:4" ht="15.75" x14ac:dyDescent="0.25">
      <c r="A71" s="210" t="str">
        <f t="shared" si="1"/>
        <v/>
      </c>
      <c r="B71" s="99"/>
      <c r="C71" s="100"/>
      <c r="D71" s="101"/>
    </row>
    <row r="72" spans="1:4" ht="15.75" x14ac:dyDescent="0.25">
      <c r="A72" s="210" t="str">
        <f t="shared" si="1"/>
        <v/>
      </c>
      <c r="B72" s="99"/>
      <c r="C72" s="100"/>
      <c r="D72" s="101"/>
    </row>
    <row r="73" spans="1:4" ht="15.75" x14ac:dyDescent="0.25">
      <c r="A73" s="210" t="str">
        <f t="shared" si="1"/>
        <v/>
      </c>
      <c r="B73" s="99"/>
      <c r="C73" s="100"/>
      <c r="D73" s="101"/>
    </row>
    <row r="74" spans="1:4" ht="15.75" x14ac:dyDescent="0.25">
      <c r="A74" s="210" t="str">
        <f t="shared" si="1"/>
        <v/>
      </c>
      <c r="B74" s="99"/>
      <c r="C74" s="100"/>
      <c r="D74" s="101"/>
    </row>
    <row r="75" spans="1:4" ht="15.75" x14ac:dyDescent="0.25">
      <c r="A75" s="210" t="str">
        <f t="shared" si="1"/>
        <v/>
      </c>
      <c r="B75" s="99"/>
      <c r="C75" s="100"/>
      <c r="D75" s="101"/>
    </row>
    <row r="76" spans="1:4" ht="15.75" x14ac:dyDescent="0.25">
      <c r="A76" s="210" t="str">
        <f t="shared" si="1"/>
        <v/>
      </c>
      <c r="B76" s="99"/>
      <c r="C76" s="100"/>
      <c r="D76" s="101"/>
    </row>
    <row r="77" spans="1:4" ht="15.75" x14ac:dyDescent="0.25">
      <c r="A77" s="210" t="str">
        <f t="shared" si="1"/>
        <v/>
      </c>
      <c r="B77" s="99"/>
      <c r="C77" s="100"/>
      <c r="D77" s="101"/>
    </row>
    <row r="78" spans="1:4" ht="15.75" x14ac:dyDescent="0.25">
      <c r="A78" s="210" t="str">
        <f t="shared" si="1"/>
        <v/>
      </c>
      <c r="B78" s="99"/>
      <c r="C78" s="100"/>
      <c r="D78" s="101"/>
    </row>
    <row r="79" spans="1:4" ht="15.75" x14ac:dyDescent="0.25">
      <c r="A79" s="210" t="str">
        <f t="shared" si="1"/>
        <v/>
      </c>
      <c r="B79" s="99"/>
      <c r="C79" s="100"/>
      <c r="D79" s="101"/>
    </row>
    <row r="80" spans="1:4" ht="15.75" x14ac:dyDescent="0.25">
      <c r="A80" s="210" t="str">
        <f t="shared" si="1"/>
        <v/>
      </c>
      <c r="B80" s="99"/>
      <c r="C80" s="100"/>
      <c r="D80" s="101"/>
    </row>
    <row r="81" spans="1:4" ht="15.75" x14ac:dyDescent="0.25">
      <c r="A81" s="210" t="str">
        <f t="shared" si="1"/>
        <v/>
      </c>
      <c r="B81" s="99"/>
      <c r="C81" s="100"/>
      <c r="D81" s="101"/>
    </row>
    <row r="82" spans="1:4" ht="15.75" x14ac:dyDescent="0.25">
      <c r="A82" s="210"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1" t="s">
        <v>1952</v>
      </c>
      <c r="B1" s="1051"/>
      <c r="C1" s="1051"/>
      <c r="D1" s="1051"/>
      <c r="E1" s="1051"/>
      <c r="F1" s="1051"/>
      <c r="G1" s="1051"/>
      <c r="H1" s="1051"/>
      <c r="I1" s="1051"/>
      <c r="J1" s="1051"/>
      <c r="K1" s="1051"/>
      <c r="L1" s="1051"/>
      <c r="M1" s="1051"/>
      <c r="N1" s="1051"/>
      <c r="O1" s="1051"/>
      <c r="P1" s="1051"/>
    </row>
    <row r="2" spans="1:18" s="68" customFormat="1" ht="48" customHeight="1" x14ac:dyDescent="0.2">
      <c r="A2" s="67" t="s">
        <v>1765</v>
      </c>
      <c r="B2" s="1052" t="s">
        <v>1766</v>
      </c>
      <c r="C2" s="1053"/>
      <c r="D2" s="1053"/>
      <c r="E2" s="1053"/>
      <c r="F2" s="1053"/>
      <c r="G2" s="1053"/>
      <c r="H2" s="1054"/>
      <c r="I2" s="1052" t="s">
        <v>1767</v>
      </c>
      <c r="J2" s="1053"/>
      <c r="K2" s="1054"/>
      <c r="L2" s="1055" t="s">
        <v>1768</v>
      </c>
      <c r="M2" s="1055"/>
      <c r="N2" s="1055"/>
      <c r="O2" s="1055"/>
      <c r="P2" s="1056"/>
    </row>
    <row r="3" spans="1:18" ht="51" x14ac:dyDescent="0.2">
      <c r="A3" s="69" t="s">
        <v>1769</v>
      </c>
      <c r="B3" s="70" t="s">
        <v>1770</v>
      </c>
      <c r="C3" s="71" t="s">
        <v>1771</v>
      </c>
      <c r="D3" s="71" t="s">
        <v>1920</v>
      </c>
      <c r="E3" s="71" t="s">
        <v>1919</v>
      </c>
      <c r="F3" s="71" t="s">
        <v>1921</v>
      </c>
      <c r="G3" s="71" t="s">
        <v>1922</v>
      </c>
      <c r="H3" s="1057" t="s">
        <v>1694</v>
      </c>
      <c r="I3" s="70" t="s">
        <v>1772</v>
      </c>
      <c r="J3" s="71" t="s">
        <v>1773</v>
      </c>
      <c r="K3" s="1057"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8" t="s">
        <v>1953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E1.P_G.MR1- EMPODERAMIENTO INCLUSIÓN DE GÉNERO Y POBLACIÓN LGTBI</Descripci_x00f3_n>
  </documentManagement>
</p:properties>
</file>

<file path=customXml/itemProps1.xml><?xml version="1.0" encoding="utf-8"?>
<ds:datastoreItem xmlns:ds="http://schemas.openxmlformats.org/officeDocument/2006/customXml" ds:itemID="{519A0F1E-872A-45FA-98CA-320201CCA8CD}"/>
</file>

<file path=customXml/itemProps2.xml><?xml version="1.0" encoding="utf-8"?>
<ds:datastoreItem xmlns:ds="http://schemas.openxmlformats.org/officeDocument/2006/customXml" ds:itemID="{61541B55-FAEA-4D00-89C1-2E4CFEF25159}"/>
</file>

<file path=customXml/itemProps3.xml><?xml version="1.0" encoding="utf-8"?>
<ds:datastoreItem xmlns:ds="http://schemas.openxmlformats.org/officeDocument/2006/customXml" ds:itemID="{272C3460-7998-4ACF-8F2C-407BF4E014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'CONSOLIDADO PLAN DESARROLLO'!COD_MR</vt:lpstr>
      <vt:lpstr>'CONSOLIDADO PLAN DESARROLLO'!E1.</vt:lpstr>
      <vt:lpstr>'CONSOLIDADO PLAN DESARROLLO'!E1.P_A</vt:lpstr>
      <vt:lpstr>'CONSOLIDADO PLAN DESARROLLO'!E1.P_A.MR1</vt:lpstr>
      <vt:lpstr>'CONSOLIDADO PLAN DESARROLLO'!E1.P_A.MR2</vt:lpstr>
      <vt:lpstr>'CONSOLIDADO PLAN DESARROLLO'!E1.P_A.MR3</vt:lpstr>
      <vt:lpstr>'CONSOLIDADO PLAN DESARROLLO'!E1.P_A.MR4</vt:lpstr>
      <vt:lpstr>'CONSOLIDADO PLAN DESARROLLO'!E1.P_A.MR5</vt:lpstr>
      <vt:lpstr>'CONSOLIDADO PLAN DESARROLLO'!E1.P_B</vt:lpstr>
      <vt:lpstr>'CONSOLIDADO PLAN DESARROLLO'!E1.P_B.MR1</vt:lpstr>
      <vt:lpstr>'CONSOLIDADO PLAN DESARROLLO'!E1.P_B.MR2</vt:lpstr>
      <vt:lpstr>'CONSOLIDADO PLAN DESARROLLO'!E1.P_B.MR3</vt:lpstr>
      <vt:lpstr>'CONSOLIDADO PLAN DESARROLLO'!E1.P_C</vt:lpstr>
      <vt:lpstr>'CONSOLIDADO PLAN DESARROLLO'!E1.P_C.MR1</vt:lpstr>
      <vt:lpstr>'CONSOLIDADO PLAN DESARROLLO'!E1.P_D</vt:lpstr>
      <vt:lpstr>'CONSOLIDADO PLAN DESARROLLO'!E1.P_D.MR1</vt:lpstr>
      <vt:lpstr>'CONSOLIDADO PLAN DESARROLLO'!E1.P_E</vt:lpstr>
      <vt:lpstr>'CONSOLIDADO PLAN DESARROLLO'!E1.P_E.MR1</vt:lpstr>
      <vt:lpstr>'CONSOLIDADO PLAN DESARROLLO'!E1.P_F</vt:lpstr>
      <vt:lpstr>'CONSOLIDADO PLAN DESARROLLO'!E1.P_F.MR1</vt:lpstr>
      <vt:lpstr>'CONSOLIDADO PLAN DESARROLLO'!E1.P_F.MR2</vt:lpstr>
      <vt:lpstr>'CONSOLIDADO PLAN DESARROLLO'!E1.P_G</vt:lpstr>
      <vt:lpstr>'CONSOLIDADO PLAN DESARROLLO'!E1.P_G.MR1</vt:lpstr>
      <vt:lpstr>'CONSOLIDADO PLAN DESARROLLO'!E1.P_G.MR2</vt:lpstr>
      <vt:lpstr>'CONSOLIDADO PLAN DESARROLLO'!E1.P_H</vt:lpstr>
      <vt:lpstr>'CONSOLIDADO PLAN DESARROLLO'!E1.P_H.MR1</vt:lpstr>
      <vt:lpstr>'CONSOLIDADO PLAN DESARROLLO'!E1.P_I</vt:lpstr>
      <vt:lpstr>'CONSOLIDADO PLAN DESARROLLO'!E1.P_I.MR1</vt:lpstr>
      <vt:lpstr>'CONSOLIDADO PLAN DESARROLLO'!E1.P_J</vt:lpstr>
      <vt:lpstr>'CONSOLIDADO PLAN DESARROLLO'!E1.P_J.MR1</vt:lpstr>
      <vt:lpstr>'CONSOLIDADO PLAN DESARROLLO'!E2.</vt:lpstr>
      <vt:lpstr>'CONSOLIDADO PLAN DESARROLLO'!E2.P_A</vt:lpstr>
      <vt:lpstr>'CONSOLIDADO PLAN DESARROLLO'!E2.P_A.MR1</vt:lpstr>
      <vt:lpstr>'CONSOLIDADO PLAN DESARROLLO'!E2.P_B</vt:lpstr>
      <vt:lpstr>'CONSOLIDADO PLAN DESARROLLO'!E2.P_B.MR1</vt:lpstr>
      <vt:lpstr>'CONSOLIDADO PLAN DESARROLLO'!E2.P_C</vt:lpstr>
      <vt:lpstr>'CONSOLIDADO PLAN DESARROLLO'!E2.P_C.MR1</vt:lpstr>
      <vt:lpstr>'CONSOLIDADO PLAN DESARROLLO'!E2.P_D</vt:lpstr>
      <vt:lpstr>'CONSOLIDADO PLAN DESARROLLO'!E2.P_D.MR1</vt:lpstr>
      <vt:lpstr>'CONSOLIDADO PLAN DESARROLLO'!E2.P_E</vt:lpstr>
      <vt:lpstr>'CONSOLIDADO PLAN DESARROLLO'!E2.P_E.MR1</vt:lpstr>
      <vt:lpstr>'CONSOLIDADO PLAN DESARROLLO'!E2.P_F</vt:lpstr>
      <vt:lpstr>'CONSOLIDADO PLAN DESARROLLO'!E2.P_F.MR1</vt:lpstr>
      <vt:lpstr>'CONSOLIDADO PLAN DESARROLLO'!E2.P_F.MR2</vt:lpstr>
      <vt:lpstr>'CONSOLIDADO PLAN DESARROLLO'!E3.</vt:lpstr>
      <vt:lpstr>'CONSOLIDADO PLAN DESARROLLO'!E3.P_A</vt:lpstr>
      <vt:lpstr>'CONSOLIDADO PLAN DESARROLLO'!E3.P_A.MR1</vt:lpstr>
      <vt:lpstr>'CONSOLIDADO PLAN DESARROLLO'!E3.P_B</vt:lpstr>
      <vt:lpstr>'CONSOLIDADO PLAN DESARROLLO'!E3.P_B.MR1</vt:lpstr>
      <vt:lpstr>'CONSOLIDADO PLAN DESARROLLO'!E3.P_C</vt:lpstr>
      <vt:lpstr>'CONSOLIDADO PLAN DESARROLLO'!E3.P_C.MR1</vt:lpstr>
      <vt:lpstr>'CONSOLIDADO PLAN DESARROLLO'!E3.P_C.MR2</vt:lpstr>
      <vt:lpstr>'CONSOLIDADO PLAN DESARROLLO'!E3.P_D</vt:lpstr>
      <vt:lpstr>'CONSOLIDADO PLAN DESARROLLO'!E3.P_D.MR1</vt:lpstr>
      <vt:lpstr>'CONSOLIDADO PLAN DESARROLLO'!E3.P_D.MR2</vt:lpstr>
      <vt:lpstr>'CONSOLIDADO PLAN DESARROLLO'!E3.P_E</vt:lpstr>
      <vt:lpstr>'CONSOLIDADO PLAN DESARROLLO'!E3.P_E.MR1</vt:lpstr>
      <vt:lpstr>'CONSOLIDADO PLAN DESARROLLO'!E3.P_F</vt:lpstr>
      <vt:lpstr>'CONSOLIDADO PLAN DESARROLLO'!E3.P_F.MR1</vt:lpstr>
      <vt:lpstr>'CONSOLIDADO PLAN DESARROLLO'!E3.P_G</vt:lpstr>
      <vt:lpstr>'CONSOLIDADO PLAN DESARROLLO'!E3.P_G.MR1</vt:lpstr>
      <vt:lpstr>'CONSOLIDADO PLAN DESARROLLO'!E3.P_H</vt:lpstr>
      <vt:lpstr>'CONSOLIDADO PLAN DESARROLLO'!E3.P_H.MR1</vt:lpstr>
      <vt:lpstr>'CONSOLIDADO PLAN DESARROLLO'!E3.P_I</vt:lpstr>
      <vt:lpstr>'CONSOLIDADO PLAN DESARROLLO'!E3.P_I.MR1</vt:lpstr>
      <vt:lpstr>'CONSOLIDADO PLAN DESARROLLO'!E3.P_J</vt:lpstr>
      <vt:lpstr>'CONSOLIDADO PLAN DESARROLLO'!E3.P_J.MR1</vt:lpstr>
      <vt:lpstr>'CONSOLIDADO PLAN DESARROLLO'!E3.P_K</vt:lpstr>
      <vt:lpstr>'CONSOLIDADO PLAN DESARROLLO'!E3.P_K.MR1</vt:lpstr>
      <vt:lpstr>'CONSOLIDADO PLAN DESARROLLO'!E3.P_L</vt:lpstr>
      <vt:lpstr>'CONSOLIDADO PLAN DESARROLLO'!E3.P_L.MR1</vt:lpstr>
      <vt:lpstr>'CONSOLIDADO PLAN DESARROLLO'!E3.P_L.MR2</vt:lpstr>
      <vt:lpstr>'CONSOLIDADO PLAN DESARROLLO'!E3.P_L.MR3</vt:lpstr>
      <vt:lpstr>'CONSOLIDADO PLAN DESARROLLO'!E3.P_L.MR4</vt:lpstr>
      <vt:lpstr>'CONSOLIDADO PLAN DESARROLLO'!E4.</vt:lpstr>
      <vt:lpstr>'CONSOLIDADO PLAN DESARROLLO'!E4.P_A</vt:lpstr>
      <vt:lpstr>'CONSOLIDADO PLAN DESARROLLO'!E4.P_A.MR1</vt:lpstr>
      <vt:lpstr>'CONSOLIDADO PLAN DESARROLLO'!E4.P_A.MR2</vt:lpstr>
      <vt:lpstr>'CONSOLIDADO PLAN DESARROLLO'!E4.P_A.MR3</vt:lpstr>
      <vt:lpstr>'CONSOLIDADO PLAN DESARROLLO'!E4.P_A.MR4</vt:lpstr>
      <vt:lpstr>'CONSOLIDADO PLAN DESARROLLO'!E4.P_B</vt:lpstr>
      <vt:lpstr>'CONSOLIDADO PLAN DESARROLLO'!E4.P_B.MR1</vt:lpstr>
      <vt:lpstr>'CONSOLIDADO PLAN DESARROLLO'!E4.P_C</vt:lpstr>
      <vt:lpstr>'CONSOLIDADO PLAN DESARROLLO'!E4.P_C.MR1</vt:lpstr>
      <vt:lpstr>'CONSOLIDADO PLAN DESARROLLO'!E4.P_D</vt:lpstr>
      <vt:lpstr>'CONSOLIDADO PLAN DESARROLLO'!E4.P_D.MR1</vt:lpstr>
      <vt:lpstr>'CONSOLIDADO PLAN DESARROLLO'!E4.P_D.MR2</vt:lpstr>
      <vt:lpstr>'CONSOLIDADO PLAN DESARROLLO'!E4.P_D.MR3</vt:lpstr>
      <vt:lpstr>'CONSOLIDADO PLAN DESARROLLO'!E4.P_E</vt:lpstr>
      <vt:lpstr>'CONSOLIDADO PLAN DESARROLLO'!E4.P_E.MR1</vt:lpstr>
      <vt:lpstr>'CONSOLIDADO PLAN DESARROLLO'!EJES</vt:lpstr>
      <vt:lpstr>'CONSOLIDADO PLAN DESARROLLO'!META_DE_PRODUCTO</vt:lpstr>
      <vt:lpstr>'CONSOLIDADO PLAN DESARROLLO'!META_RESULTADO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E1.P_G.MR1- EMPODERAMIENTO INCLUSIÓN DE GÉNERO Y POBLACIÓN LGTBI</dc:title>
  <dc:creator>FARID</dc:creator>
  <cp:lastModifiedBy>Adriana Mora</cp:lastModifiedBy>
  <dcterms:created xsi:type="dcterms:W3CDTF">2017-01-16T16:29:25Z</dcterms:created>
  <dcterms:modified xsi:type="dcterms:W3CDTF">2020-01-29T15:53:10Z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