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3.P_A  INFRAESTRUCTURAS INSTITUCIONALES Y COMUNITARIAS\"/>
    </mc:Choice>
  </mc:AlternateContent>
  <xr:revisionPtr revIDLastSave="0" documentId="13_ncr:1_{EF93927C-52F8-4778-BB07-B6974F5B3255}" xr6:coauthVersionLast="45" xr6:coauthVersionMax="45" xr10:uidLastSave="{00000000-0000-0000-0000-000000000000}"/>
  <bookViews>
    <workbookView xWindow="-120" yWindow="-120" windowWidth="29040" windowHeight="15840" tabRatio="794"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193" i="6" l="1"/>
  <c r="AB193" i="6"/>
  <c r="Z193" i="6"/>
  <c r="X193" i="6"/>
  <c r="V193" i="6"/>
  <c r="T193" i="6"/>
  <c r="R193" i="6"/>
  <c r="AD184" i="6"/>
  <c r="AB184" i="6"/>
  <c r="Z184" i="6"/>
  <c r="X184" i="6"/>
  <c r="V184" i="6"/>
  <c r="T184" i="6"/>
  <c r="R184" i="6"/>
  <c r="AD175" i="6"/>
  <c r="AB175" i="6"/>
  <c r="Z175" i="6"/>
  <c r="X175" i="6"/>
  <c r="V175" i="6"/>
  <c r="T175" i="6"/>
  <c r="R175" i="6"/>
  <c r="AD166" i="6"/>
  <c r="AB166" i="6"/>
  <c r="Z166" i="6"/>
  <c r="X166" i="6"/>
  <c r="V166" i="6"/>
  <c r="T166" i="6"/>
  <c r="R166" i="6"/>
  <c r="AD157" i="6"/>
  <c r="AB157" i="6"/>
  <c r="Z157" i="6"/>
  <c r="X157" i="6"/>
  <c r="V157" i="6"/>
  <c r="T157" i="6"/>
  <c r="R157" i="6"/>
  <c r="AD148" i="6"/>
  <c r="AB148" i="6"/>
  <c r="Z148" i="6"/>
  <c r="X148" i="6"/>
  <c r="V148" i="6"/>
  <c r="T148" i="6"/>
  <c r="R148" i="6"/>
  <c r="AD139" i="6"/>
  <c r="AB139" i="6"/>
  <c r="Z139" i="6"/>
  <c r="X139" i="6"/>
  <c r="V139" i="6"/>
  <c r="T139" i="6"/>
  <c r="R139" i="6"/>
  <c r="AD130" i="6"/>
  <c r="AB130" i="6"/>
  <c r="Z130" i="6"/>
  <c r="X130" i="6"/>
  <c r="V130" i="6"/>
  <c r="T130" i="6"/>
  <c r="R130" i="6"/>
  <c r="AD121" i="6"/>
  <c r="AB121" i="6"/>
  <c r="Z121" i="6"/>
  <c r="X121" i="6"/>
  <c r="V121" i="6"/>
  <c r="T121" i="6"/>
  <c r="R121" i="6"/>
  <c r="AD112" i="6"/>
  <c r="AB112" i="6"/>
  <c r="Z112" i="6"/>
  <c r="X112" i="6"/>
  <c r="V112" i="6"/>
  <c r="T112" i="6"/>
  <c r="R112" i="6"/>
  <c r="AD103" i="6"/>
  <c r="AB103" i="6"/>
  <c r="Z103" i="6"/>
  <c r="X103" i="6"/>
  <c r="V103" i="6"/>
  <c r="T103" i="6"/>
  <c r="R103" i="6"/>
  <c r="AD94" i="6"/>
  <c r="AB94" i="6"/>
  <c r="Z94" i="6"/>
  <c r="X94" i="6"/>
  <c r="V94" i="6"/>
  <c r="T94" i="6"/>
  <c r="R94" i="6"/>
  <c r="AD85" i="6"/>
  <c r="AB85" i="6"/>
  <c r="Z85" i="6"/>
  <c r="X85" i="6"/>
  <c r="V85" i="6"/>
  <c r="T85" i="6"/>
  <c r="R85" i="6"/>
  <c r="AD76" i="6"/>
  <c r="AB76" i="6"/>
  <c r="Z76" i="6"/>
  <c r="X76" i="6"/>
  <c r="V76" i="6"/>
  <c r="T76" i="6"/>
  <c r="R76" i="6"/>
  <c r="AD67" i="6"/>
  <c r="AB67" i="6"/>
  <c r="Z67" i="6"/>
  <c r="X67" i="6"/>
  <c r="V67" i="6"/>
  <c r="T67" i="6"/>
  <c r="R67" i="6"/>
  <c r="AD58" i="6"/>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U197" i="6" l="1"/>
  <c r="AR197" i="6"/>
  <c r="AU196" i="6"/>
  <c r="AR196" i="6"/>
  <c r="AU195" i="6"/>
  <c r="AR195" i="6"/>
  <c r="AU194" i="6"/>
  <c r="AR194" i="6"/>
  <c r="AU193" i="6"/>
  <c r="AR193" i="6"/>
  <c r="AU188" i="6"/>
  <c r="AR188" i="6"/>
  <c r="AU187" i="6"/>
  <c r="AR187" i="6"/>
  <c r="AU186" i="6"/>
  <c r="AR186" i="6"/>
  <c r="AU185" i="6"/>
  <c r="AR185" i="6"/>
  <c r="AU184" i="6"/>
  <c r="AR184" i="6"/>
  <c r="AU179" i="6"/>
  <c r="AR179" i="6"/>
  <c r="AU178" i="6"/>
  <c r="AR178" i="6"/>
  <c r="AU177" i="6"/>
  <c r="AR177" i="6"/>
  <c r="AU176" i="6"/>
  <c r="AR176" i="6"/>
  <c r="AU175" i="6"/>
  <c r="AR175" i="6"/>
  <c r="AU170" i="6"/>
  <c r="AR170" i="6"/>
  <c r="AU169" i="6"/>
  <c r="AR169" i="6"/>
  <c r="AU168" i="6"/>
  <c r="AR168" i="6"/>
  <c r="AU167" i="6"/>
  <c r="AR167" i="6"/>
  <c r="AU166" i="6"/>
  <c r="AR166" i="6"/>
  <c r="AU161" i="6"/>
  <c r="AR161" i="6"/>
  <c r="AU160" i="6"/>
  <c r="AR160" i="6"/>
  <c r="AU159" i="6"/>
  <c r="AR159" i="6"/>
  <c r="AU158" i="6"/>
  <c r="AR158" i="6"/>
  <c r="AU157" i="6"/>
  <c r="AR157" i="6"/>
  <c r="AU151" i="6"/>
  <c r="AR151" i="6"/>
  <c r="AU150" i="6"/>
  <c r="AR150" i="6"/>
  <c r="AU149" i="6"/>
  <c r="AR149" i="6"/>
  <c r="AU148" i="6"/>
  <c r="AR148" i="6"/>
  <c r="AU141" i="6"/>
  <c r="AR141" i="6"/>
  <c r="AU139" i="6"/>
  <c r="AR139" i="6"/>
  <c r="AU132" i="6"/>
  <c r="AR132" i="6"/>
  <c r="AU131" i="6"/>
  <c r="AR131" i="6"/>
  <c r="AU130" i="6"/>
  <c r="AR130" i="6"/>
  <c r="AU114" i="6"/>
  <c r="AR114" i="6"/>
  <c r="AU113" i="6"/>
  <c r="AR113" i="6"/>
  <c r="AU112" i="6"/>
  <c r="AR112" i="6"/>
  <c r="AU104" i="6"/>
  <c r="AR104" i="6"/>
  <c r="AU103" i="6"/>
  <c r="AR103" i="6"/>
  <c r="AU96" i="6"/>
  <c r="AR96" i="6"/>
  <c r="AU95" i="6"/>
  <c r="AR95" i="6"/>
  <c r="AU94" i="6"/>
  <c r="AR94" i="6"/>
  <c r="AU86" i="6"/>
  <c r="AR86" i="6"/>
  <c r="AU85" i="6"/>
  <c r="AR85" i="6"/>
  <c r="AU77" i="6"/>
  <c r="AR77" i="6"/>
  <c r="AU67" i="6"/>
  <c r="AR67" i="6"/>
  <c r="AU60" i="6"/>
  <c r="AR60" i="6"/>
  <c r="AU59" i="6"/>
  <c r="AR59" i="6"/>
  <c r="AU58" i="6"/>
  <c r="AR58" i="6"/>
  <c r="AU51" i="6"/>
  <c r="AR51" i="6"/>
  <c r="AU50" i="6"/>
  <c r="AR50" i="6"/>
  <c r="AU49" i="6"/>
  <c r="AR49" i="6"/>
  <c r="AU40" i="6"/>
  <c r="AR40" i="6"/>
  <c r="AU142" i="6"/>
  <c r="AR142" i="6"/>
  <c r="AU140" i="6"/>
  <c r="AR140" i="6"/>
  <c r="AU122" i="6"/>
  <c r="AR122" i="6"/>
  <c r="AU121" i="6"/>
  <c r="AR121" i="6"/>
  <c r="AU106" i="6"/>
  <c r="AR106" i="6"/>
  <c r="AU105" i="6"/>
  <c r="AR105" i="6"/>
  <c r="AU88" i="6"/>
  <c r="AR88" i="6"/>
  <c r="AU87" i="6"/>
  <c r="AR87" i="6"/>
  <c r="AU76" i="6"/>
  <c r="AR76" i="6"/>
  <c r="AU69" i="6"/>
  <c r="AR69" i="6"/>
  <c r="AU68" i="6"/>
  <c r="AR68" i="6"/>
  <c r="AU43" i="6"/>
  <c r="AR43" i="6"/>
  <c r="AU42" i="6"/>
  <c r="AR42" i="6"/>
  <c r="AU41" i="6"/>
  <c r="AR41" i="6"/>
  <c r="AU32" i="6"/>
  <c r="AR32" i="6"/>
  <c r="AU33" i="6"/>
  <c r="AR33" i="6"/>
  <c r="AU31" i="6"/>
  <c r="AR31" i="6"/>
  <c r="AU24" i="6"/>
  <c r="AR24" i="6"/>
  <c r="AU23" i="6"/>
  <c r="AR23" i="6"/>
  <c r="AU22" i="6"/>
  <c r="AR22" i="6"/>
  <c r="K5" i="10" l="1"/>
  <c r="H5" i="10"/>
  <c r="AI192" i="6" l="1"/>
  <c r="AH192" i="6"/>
  <c r="AG192" i="6"/>
  <c r="AF192" i="6"/>
  <c r="AE192" i="6"/>
  <c r="AC192" i="6"/>
  <c r="AA192" i="6"/>
  <c r="Y192" i="6"/>
  <c r="W192" i="6"/>
  <c r="U192" i="6"/>
  <c r="S192" i="6"/>
  <c r="J192" i="6"/>
  <c r="AI183" i="6"/>
  <c r="AH183" i="6"/>
  <c r="AG183" i="6"/>
  <c r="AF183" i="6"/>
  <c r="AE183" i="6"/>
  <c r="AC183" i="6"/>
  <c r="AA183" i="6"/>
  <c r="Y183" i="6"/>
  <c r="W183" i="6"/>
  <c r="U183" i="6"/>
  <c r="S183" i="6"/>
  <c r="J183" i="6"/>
  <c r="AI174" i="6"/>
  <c r="AH174" i="6"/>
  <c r="AG174" i="6"/>
  <c r="AF174" i="6"/>
  <c r="AE174" i="6"/>
  <c r="AC174" i="6"/>
  <c r="AA174" i="6"/>
  <c r="Y174" i="6"/>
  <c r="W174" i="6"/>
  <c r="U174" i="6"/>
  <c r="S174" i="6"/>
  <c r="J174" i="6"/>
  <c r="AI165" i="6"/>
  <c r="AH165" i="6"/>
  <c r="AG165" i="6"/>
  <c r="AF165" i="6"/>
  <c r="AE165" i="6"/>
  <c r="AC165" i="6"/>
  <c r="AA165" i="6"/>
  <c r="Y165" i="6"/>
  <c r="W165" i="6"/>
  <c r="U165" i="6"/>
  <c r="S165" i="6"/>
  <c r="J165" i="6"/>
  <c r="AI156" i="6"/>
  <c r="AH156" i="6"/>
  <c r="AG156" i="6"/>
  <c r="AF156" i="6"/>
  <c r="AE156" i="6"/>
  <c r="AC156" i="6"/>
  <c r="AA156" i="6"/>
  <c r="Y156" i="6"/>
  <c r="W156" i="6"/>
  <c r="U156" i="6"/>
  <c r="S156" i="6"/>
  <c r="J156" i="6"/>
  <c r="AI147" i="6"/>
  <c r="AH147" i="6"/>
  <c r="AG147" i="6"/>
  <c r="AF147" i="6"/>
  <c r="AE147" i="6"/>
  <c r="AC147" i="6"/>
  <c r="AA147" i="6"/>
  <c r="Y147" i="6"/>
  <c r="W147" i="6"/>
  <c r="U147" i="6"/>
  <c r="S147" i="6"/>
  <c r="J147" i="6"/>
  <c r="AI138" i="6"/>
  <c r="AH138" i="6"/>
  <c r="AG138" i="6"/>
  <c r="AF138" i="6"/>
  <c r="AE138" i="6"/>
  <c r="AC138" i="6"/>
  <c r="AA138" i="6"/>
  <c r="Y138" i="6"/>
  <c r="W138" i="6"/>
  <c r="U138" i="6"/>
  <c r="S138" i="6"/>
  <c r="J138" i="6"/>
  <c r="AI129" i="6"/>
  <c r="AH129" i="6"/>
  <c r="AG129" i="6"/>
  <c r="AF129" i="6"/>
  <c r="AE129" i="6"/>
  <c r="AC129" i="6"/>
  <c r="AA129" i="6"/>
  <c r="Y129" i="6"/>
  <c r="W129" i="6"/>
  <c r="U129" i="6"/>
  <c r="S129" i="6"/>
  <c r="J129" i="6"/>
  <c r="AI120" i="6"/>
  <c r="AH120" i="6"/>
  <c r="AG120" i="6"/>
  <c r="AF120" i="6"/>
  <c r="AE120" i="6"/>
  <c r="AC120" i="6"/>
  <c r="Y120" i="6"/>
  <c r="W120" i="6"/>
  <c r="U120" i="6"/>
  <c r="S120" i="6"/>
  <c r="J120" i="6"/>
  <c r="AI111" i="6"/>
  <c r="AH111" i="6"/>
  <c r="AG111" i="6"/>
  <c r="AF111" i="6"/>
  <c r="AE111" i="6"/>
  <c r="AC111" i="6"/>
  <c r="AA111" i="6"/>
  <c r="Y111" i="6"/>
  <c r="W111" i="6"/>
  <c r="U111" i="6"/>
  <c r="S111" i="6"/>
  <c r="J111" i="6"/>
  <c r="AI102" i="6"/>
  <c r="AH102" i="6"/>
  <c r="AG102" i="6"/>
  <c r="AF102" i="6"/>
  <c r="AE102" i="6"/>
  <c r="AC102" i="6"/>
  <c r="AA102" i="6"/>
  <c r="Y102" i="6"/>
  <c r="W102" i="6"/>
  <c r="U102" i="6"/>
  <c r="S102" i="6"/>
  <c r="J102" i="6"/>
  <c r="AI93" i="6"/>
  <c r="AH93" i="6"/>
  <c r="AG93" i="6"/>
  <c r="AF93" i="6"/>
  <c r="AE93" i="6"/>
  <c r="AC93" i="6"/>
  <c r="AA93" i="6"/>
  <c r="Y93" i="6"/>
  <c r="W93" i="6"/>
  <c r="U93" i="6"/>
  <c r="S93" i="6"/>
  <c r="J93" i="6"/>
  <c r="AI84" i="6"/>
  <c r="AH84" i="6"/>
  <c r="AG84" i="6"/>
  <c r="AF84" i="6"/>
  <c r="AE84" i="6"/>
  <c r="AC84" i="6"/>
  <c r="AA84" i="6"/>
  <c r="Y84" i="6"/>
  <c r="W84" i="6"/>
  <c r="U84" i="6"/>
  <c r="S84" i="6"/>
  <c r="J84" i="6"/>
  <c r="AI75" i="6"/>
  <c r="AH75" i="6"/>
  <c r="AG75" i="6"/>
  <c r="AF75" i="6"/>
  <c r="AE75" i="6"/>
  <c r="AC75" i="6"/>
  <c r="AA75" i="6"/>
  <c r="Y75" i="6"/>
  <c r="W75" i="6"/>
  <c r="U75" i="6"/>
  <c r="S75" i="6"/>
  <c r="J75" i="6"/>
  <c r="AI66" i="6"/>
  <c r="AH66" i="6"/>
  <c r="AG66" i="6"/>
  <c r="AF66" i="6"/>
  <c r="AE66" i="6"/>
  <c r="AC66" i="6"/>
  <c r="AA66" i="6"/>
  <c r="Y66" i="6"/>
  <c r="W66" i="6"/>
  <c r="U66" i="6"/>
  <c r="S66" i="6"/>
  <c r="J66" i="6"/>
  <c r="AI57" i="6"/>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198" i="6" l="1"/>
  <c r="AK197" i="6"/>
  <c r="AK196" i="6"/>
  <c r="AK195" i="6"/>
  <c r="AK194" i="6"/>
  <c r="AK193" i="6"/>
  <c r="AK189" i="6"/>
  <c r="AK188" i="6"/>
  <c r="AK187" i="6"/>
  <c r="AK186" i="6"/>
  <c r="AK185" i="6"/>
  <c r="AK184" i="6"/>
  <c r="AK180" i="6"/>
  <c r="AK179" i="6"/>
  <c r="AK178" i="6"/>
  <c r="AK177" i="6"/>
  <c r="AK176" i="6"/>
  <c r="AK175" i="6"/>
  <c r="AK171" i="6"/>
  <c r="AK170" i="6"/>
  <c r="AK169" i="6"/>
  <c r="AK168" i="6"/>
  <c r="AK167" i="6"/>
  <c r="AK166" i="6"/>
  <c r="AK162" i="6"/>
  <c r="AK161" i="6"/>
  <c r="AK160" i="6"/>
  <c r="AK159" i="6"/>
  <c r="AK158" i="6"/>
  <c r="AK157" i="6"/>
  <c r="AK153" i="6"/>
  <c r="AK152" i="6"/>
  <c r="AK151" i="6"/>
  <c r="AK150" i="6"/>
  <c r="AK149" i="6"/>
  <c r="AK148" i="6"/>
  <c r="AK144" i="6"/>
  <c r="AK143" i="6"/>
  <c r="AK142" i="6"/>
  <c r="AK141" i="6"/>
  <c r="AK140" i="6"/>
  <c r="AK139" i="6"/>
  <c r="AK135" i="6"/>
  <c r="AK134" i="6"/>
  <c r="AK133" i="6"/>
  <c r="AK132" i="6"/>
  <c r="AK131" i="6"/>
  <c r="AK130" i="6"/>
  <c r="AK126" i="6"/>
  <c r="AK125" i="6"/>
  <c r="AK124" i="6"/>
  <c r="AK123" i="6"/>
  <c r="AK122" i="6"/>
  <c r="AK117" i="6"/>
  <c r="AK116" i="6"/>
  <c r="AK115" i="6"/>
  <c r="AK114" i="6"/>
  <c r="AK113" i="6"/>
  <c r="AK112" i="6"/>
  <c r="AK108" i="6"/>
  <c r="AK107" i="6"/>
  <c r="AK106" i="6"/>
  <c r="AK105" i="6"/>
  <c r="AK104" i="6"/>
  <c r="AK103" i="6"/>
  <c r="AK99" i="6"/>
  <c r="AK98" i="6"/>
  <c r="AK97" i="6"/>
  <c r="AK96" i="6"/>
  <c r="AK95" i="6"/>
  <c r="AK94" i="6"/>
  <c r="AK90" i="6"/>
  <c r="AK89" i="6"/>
  <c r="AK88" i="6"/>
  <c r="AK87" i="6"/>
  <c r="AK86" i="6"/>
  <c r="AK85" i="6"/>
  <c r="AK81" i="6"/>
  <c r="AK80" i="6"/>
  <c r="AK79" i="6"/>
  <c r="AK78" i="6"/>
  <c r="AK77" i="6"/>
  <c r="AK76" i="6"/>
  <c r="AK72" i="6"/>
  <c r="AK71" i="6"/>
  <c r="AK70" i="6"/>
  <c r="AK69" i="6"/>
  <c r="AK68" i="6"/>
  <c r="AK67" i="6"/>
  <c r="AK63" i="6"/>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K165" i="6" l="1"/>
  <c r="AK192" i="6"/>
  <c r="AK129" i="6"/>
  <c r="AK93" i="6"/>
  <c r="AK75" i="6"/>
  <c r="AK48" i="6"/>
  <c r="AK21" i="6"/>
  <c r="AK183" i="6"/>
  <c r="AK30" i="6"/>
  <c r="AK12" i="6"/>
  <c r="AK174" i="6"/>
  <c r="AK156" i="6"/>
  <c r="AK147" i="6"/>
  <c r="AK138" i="6"/>
  <c r="AK111" i="6"/>
  <c r="AK102" i="6"/>
  <c r="AK84" i="6"/>
  <c r="AK57" i="6"/>
  <c r="AK66" i="6"/>
  <c r="AK39" i="6"/>
  <c r="AI9" i="6"/>
  <c r="AH9" i="6"/>
  <c r="AU198" i="6" l="1"/>
  <c r="AR198" i="6"/>
  <c r="H193" i="6"/>
  <c r="G193" i="6"/>
  <c r="F193" i="6"/>
  <c r="E193" i="6"/>
  <c r="AU189" i="6"/>
  <c r="AR189" i="6"/>
  <c r="H184" i="6"/>
  <c r="G184" i="6"/>
  <c r="F184" i="6"/>
  <c r="E184" i="6"/>
  <c r="AU180" i="6"/>
  <c r="AR180" i="6"/>
  <c r="H175" i="6"/>
  <c r="G175" i="6"/>
  <c r="F175" i="6"/>
  <c r="E175" i="6"/>
  <c r="AU171" i="6"/>
  <c r="AR171" i="6"/>
  <c r="H166" i="6"/>
  <c r="G166" i="6"/>
  <c r="F166" i="6"/>
  <c r="E166" i="6"/>
  <c r="AU162" i="6"/>
  <c r="AR162" i="6"/>
  <c r="H157" i="6"/>
  <c r="G157" i="6"/>
  <c r="F157" i="6"/>
  <c r="E157" i="6"/>
  <c r="AU153" i="6"/>
  <c r="AR153" i="6"/>
  <c r="AU152" i="6"/>
  <c r="AR152" i="6"/>
  <c r="H148" i="6"/>
  <c r="G148" i="6"/>
  <c r="F148" i="6"/>
  <c r="E148" i="6"/>
  <c r="AU144" i="6"/>
  <c r="AR144" i="6"/>
  <c r="AU143" i="6"/>
  <c r="AR143" i="6"/>
  <c r="H139" i="6"/>
  <c r="G139" i="6"/>
  <c r="F139" i="6"/>
  <c r="E139" i="6"/>
  <c r="AU135" i="6"/>
  <c r="AR135" i="6"/>
  <c r="AU134" i="6"/>
  <c r="AR134" i="6"/>
  <c r="AU133" i="6"/>
  <c r="AR133" i="6"/>
  <c r="H130" i="6"/>
  <c r="G130" i="6"/>
  <c r="F130" i="6"/>
  <c r="E130" i="6"/>
  <c r="AU126" i="6"/>
  <c r="AR126" i="6"/>
  <c r="AU125" i="6"/>
  <c r="AR125" i="6"/>
  <c r="AU124" i="6"/>
  <c r="AR124" i="6"/>
  <c r="AU123" i="6"/>
  <c r="AR123" i="6"/>
  <c r="H121" i="6"/>
  <c r="G121" i="6"/>
  <c r="F121" i="6"/>
  <c r="E121" i="6"/>
  <c r="AU117" i="6"/>
  <c r="AR117" i="6"/>
  <c r="AU116" i="6"/>
  <c r="AR116" i="6"/>
  <c r="AU115" i="6"/>
  <c r="AR115" i="6"/>
  <c r="H112" i="6"/>
  <c r="G112" i="6"/>
  <c r="F112" i="6"/>
  <c r="E112" i="6"/>
  <c r="AU108" i="6"/>
  <c r="AR108" i="6"/>
  <c r="AU107" i="6"/>
  <c r="AR107" i="6"/>
  <c r="H103" i="6"/>
  <c r="G103" i="6"/>
  <c r="F103" i="6"/>
  <c r="E103" i="6"/>
  <c r="AU99" i="6"/>
  <c r="AR99" i="6"/>
  <c r="AU98" i="6"/>
  <c r="AR98" i="6"/>
  <c r="AU97" i="6"/>
  <c r="AR97" i="6"/>
  <c r="H94" i="6"/>
  <c r="G94" i="6"/>
  <c r="F94" i="6"/>
  <c r="E94" i="6"/>
  <c r="AU90" i="6"/>
  <c r="AR90" i="6"/>
  <c r="AU89" i="6"/>
  <c r="AR89" i="6"/>
  <c r="H85" i="6"/>
  <c r="G85" i="6"/>
  <c r="F85" i="6"/>
  <c r="E85" i="6"/>
  <c r="AU81" i="6"/>
  <c r="AR81" i="6"/>
  <c r="AU80" i="6"/>
  <c r="AR80" i="6"/>
  <c r="AU79" i="6"/>
  <c r="AR79" i="6"/>
  <c r="AU78" i="6"/>
  <c r="AR78" i="6"/>
  <c r="H76" i="6"/>
  <c r="G76" i="6"/>
  <c r="F76" i="6"/>
  <c r="E76" i="6"/>
  <c r="AU72" i="6"/>
  <c r="AR72" i="6"/>
  <c r="AU71" i="6"/>
  <c r="AR71" i="6"/>
  <c r="AU70" i="6"/>
  <c r="AR70" i="6"/>
  <c r="H67" i="6"/>
  <c r="G67" i="6"/>
  <c r="F67" i="6"/>
  <c r="E67" i="6"/>
  <c r="AU63" i="6"/>
  <c r="AR63" i="6"/>
  <c r="AU62" i="6"/>
  <c r="AR62" i="6"/>
  <c r="AU61" i="6"/>
  <c r="AR61" i="6"/>
  <c r="H58" i="6"/>
  <c r="G58" i="6"/>
  <c r="F58" i="6"/>
  <c r="E58" i="6"/>
  <c r="AU54" i="6"/>
  <c r="AR54" i="6"/>
  <c r="AU53" i="6"/>
  <c r="AR53" i="6"/>
  <c r="AU52" i="6"/>
  <c r="AR52" i="6"/>
  <c r="H49" i="6"/>
  <c r="G49" i="6"/>
  <c r="F49" i="6"/>
  <c r="E49" i="6"/>
  <c r="AU45" i="6"/>
  <c r="AR45" i="6"/>
  <c r="AU44" i="6"/>
  <c r="AR44" i="6"/>
  <c r="H40" i="6"/>
  <c r="G40" i="6"/>
  <c r="F40" i="6"/>
  <c r="E40" i="6"/>
  <c r="AU27" i="6"/>
  <c r="AR27" i="6"/>
  <c r="AU26" i="6"/>
  <c r="AR26" i="6"/>
  <c r="AU25" i="6"/>
  <c r="AR25" i="6"/>
  <c r="H22" i="6"/>
  <c r="G22" i="6"/>
  <c r="F22" i="6"/>
  <c r="E22" i="6"/>
  <c r="AU36" i="6"/>
  <c r="AR36" i="6"/>
  <c r="AU35" i="6"/>
  <c r="AR35" i="6"/>
  <c r="AU34" i="6"/>
  <c r="AR34" i="6"/>
  <c r="H31" i="6"/>
  <c r="G31" i="6"/>
  <c r="F31" i="6"/>
  <c r="E31" i="6"/>
  <c r="J7" i="6" l="1"/>
  <c r="E9" i="6"/>
  <c r="E13" i="6"/>
  <c r="H9" i="6"/>
  <c r="G9" i="6"/>
  <c r="F9" i="6"/>
  <c r="AR18" i="6"/>
  <c r="AR17" i="6"/>
  <c r="AR16" i="6"/>
  <c r="AR15" i="6"/>
  <c r="AR14" i="6"/>
  <c r="AR13" i="6"/>
  <c r="AU18" i="6"/>
  <c r="AR9" i="6" l="1"/>
  <c r="AZ9" i="6"/>
  <c r="AY9" i="6"/>
  <c r="AX9" i="6"/>
  <c r="AW9" i="6"/>
  <c r="AV9" i="6"/>
  <c r="AS9" i="6"/>
  <c r="AT9" i="6"/>
  <c r="AQ9" i="6"/>
  <c r="AP9" i="6"/>
  <c r="AO9" i="6"/>
  <c r="AN9" i="6"/>
  <c r="AM9" i="6"/>
  <c r="AL9" i="6"/>
  <c r="AG9" i="6"/>
  <c r="AF9" i="6"/>
  <c r="AE9" i="6"/>
  <c r="AC9" i="6"/>
  <c r="Y9" i="6"/>
  <c r="W9" i="6"/>
  <c r="U9" i="6"/>
  <c r="S9" i="6"/>
  <c r="R3" i="6"/>
  <c r="H13" i="6"/>
  <c r="G13" i="6"/>
  <c r="F13" i="6"/>
  <c r="I193" i="6" l="1"/>
  <c r="I184" i="6"/>
  <c r="I175" i="6"/>
  <c r="I166" i="6"/>
  <c r="I157" i="6"/>
  <c r="I148" i="6"/>
  <c r="I139" i="6"/>
  <c r="I130" i="6"/>
  <c r="I121" i="6"/>
  <c r="I103" i="6"/>
  <c r="I94" i="6"/>
  <c r="I85" i="6"/>
  <c r="I76" i="6"/>
  <c r="I67" i="6"/>
  <c r="I58" i="6"/>
  <c r="I49" i="6"/>
  <c r="I31" i="6"/>
  <c r="I112"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40" i="6"/>
  <c r="B22" i="6"/>
  <c r="B103" i="6"/>
  <c r="B94" i="6"/>
  <c r="B85" i="6"/>
  <c r="B76" i="6"/>
  <c r="B67" i="6"/>
  <c r="B58"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18" i="5" l="1"/>
  <c r="AG109" i="5"/>
  <c r="AN109" i="5" s="1"/>
  <c r="AG95" i="5"/>
  <c r="AN95" i="5" s="1"/>
  <c r="AN111" i="5"/>
  <c r="AN283" i="5"/>
  <c r="AU283" i="5" s="1"/>
  <c r="BC283" i="5" s="1"/>
  <c r="AG9" i="5"/>
  <c r="AN9" i="5" s="1"/>
  <c r="AK186" i="5"/>
  <c r="AR186" i="5" s="1"/>
  <c r="AG275" i="5"/>
  <c r="AN139" i="5"/>
  <c r="BB186" i="5"/>
  <c r="AH9" i="5"/>
  <c r="AO9" i="5" s="1"/>
  <c r="AU9" i="5" s="1"/>
  <c r="AO139" i="5"/>
  <c r="AU139" i="5" s="1"/>
  <c r="AH186" i="5"/>
  <c r="AO186" i="5" s="1"/>
  <c r="AG69" i="5"/>
  <c r="AN69" i="5" s="1"/>
  <c r="AI69" i="5"/>
  <c r="AP69" i="5" s="1"/>
  <c r="AW69" i="5" s="1"/>
  <c r="AG99" i="5"/>
  <c r="AN99" i="5" s="1"/>
  <c r="AG125" i="5"/>
  <c r="AG133" i="5"/>
  <c r="AH133" i="5"/>
  <c r="AO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BC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N133" i="5" l="1"/>
  <c r="AV9" i="5"/>
  <c r="BB9" i="5" s="1"/>
  <c r="BC95" i="5"/>
  <c r="AV139" i="5"/>
  <c r="BB139" i="5" s="1"/>
  <c r="AU186" i="5"/>
  <c r="BC53" i="5"/>
  <c r="BB69" i="5"/>
  <c r="AU69" i="5"/>
  <c r="AU211" i="5"/>
  <c r="BC211" i="5" s="1"/>
  <c r="BC201" i="5"/>
  <c r="AN186" i="5"/>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69" i="5"/>
  <c r="BC186"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192" i="6" l="1"/>
  <c r="AD48" i="6"/>
  <c r="X147" i="6" l="1"/>
  <c r="AB156" i="6"/>
  <c r="Z138" i="6"/>
  <c r="Z156" i="6"/>
  <c r="AB129" i="6"/>
  <c r="AB39" i="6"/>
  <c r="AD174" i="6"/>
  <c r="AD165" i="6"/>
  <c r="AB147" i="6"/>
  <c r="T174" i="6"/>
  <c r="AD138" i="6"/>
  <c r="X84" i="6"/>
  <c r="AB165" i="6"/>
  <c r="T84" i="6"/>
  <c r="V165" i="6"/>
  <c r="AD21" i="6"/>
  <c r="T192" i="6"/>
  <c r="AD84" i="6"/>
  <c r="AD183" i="6"/>
  <c r="T30" i="6"/>
  <c r="V111" i="6"/>
  <c r="X192" i="6"/>
  <c r="T165" i="6"/>
  <c r="V147" i="6"/>
  <c r="V21" i="6"/>
  <c r="X102" i="6"/>
  <c r="Z183" i="6"/>
  <c r="T75" i="6"/>
  <c r="V156" i="6"/>
  <c r="T120" i="6"/>
  <c r="AD12" i="6"/>
  <c r="T183" i="6"/>
  <c r="AD30" i="6"/>
  <c r="V39" i="6"/>
  <c r="X120" i="6"/>
  <c r="T93" i="6"/>
  <c r="V174" i="6"/>
  <c r="AB174" i="6"/>
  <c r="X30" i="6"/>
  <c r="Z111" i="6"/>
  <c r="AB192" i="6"/>
  <c r="V84" i="6"/>
  <c r="X165" i="6"/>
  <c r="X12" i="6"/>
  <c r="X75" i="6"/>
  <c r="T48" i="6"/>
  <c r="V129" i="6"/>
  <c r="T111" i="6"/>
  <c r="V192" i="6"/>
  <c r="V66" i="6"/>
  <c r="X48" i="6"/>
  <c r="Z129" i="6"/>
  <c r="T21" i="6"/>
  <c r="V102" i="6"/>
  <c r="X183" i="6"/>
  <c r="AB21" i="6"/>
  <c r="Z39" i="6"/>
  <c r="AB120" i="6"/>
  <c r="V12" i="6"/>
  <c r="X93" i="6"/>
  <c r="Z174" i="6"/>
  <c r="AB102" i="6"/>
  <c r="Z75" i="6"/>
  <c r="X57" i="6"/>
  <c r="Z93" i="6"/>
  <c r="AD75" i="6"/>
  <c r="Z48" i="6"/>
  <c r="T156" i="6"/>
  <c r="AD120" i="6"/>
  <c r="AB12" i="6"/>
  <c r="X156" i="6"/>
  <c r="T102" i="6"/>
  <c r="AD66" i="6"/>
  <c r="AD39" i="6"/>
  <c r="AD102" i="6"/>
  <c r="V57" i="6"/>
  <c r="X138" i="6"/>
  <c r="T39" i="6"/>
  <c r="V120" i="6"/>
  <c r="AB30" i="6"/>
  <c r="AB93" i="6"/>
  <c r="Z57" i="6"/>
  <c r="AB138" i="6"/>
  <c r="V30" i="6"/>
  <c r="X111" i="6"/>
  <c r="Z192" i="6"/>
  <c r="T57" i="6"/>
  <c r="AB48" i="6"/>
  <c r="AD129" i="6"/>
  <c r="X21" i="6"/>
  <c r="Z102" i="6"/>
  <c r="AB183" i="6"/>
  <c r="T138" i="6"/>
  <c r="AB84" i="6"/>
  <c r="Z66" i="6"/>
  <c r="AB57" i="6"/>
  <c r="Z165" i="6"/>
  <c r="AD93" i="6"/>
  <c r="AB75" i="6"/>
  <c r="AD156" i="6"/>
  <c r="V183" i="6"/>
  <c r="AD111" i="6"/>
  <c r="T12" i="6"/>
  <c r="V93" i="6"/>
  <c r="X174" i="6"/>
  <c r="T147" i="6"/>
  <c r="Z12" i="6"/>
  <c r="V75" i="6"/>
  <c r="T129" i="6"/>
  <c r="X66" i="6"/>
  <c r="Z147" i="6"/>
  <c r="V48" i="6"/>
  <c r="X129" i="6"/>
  <c r="T66" i="6"/>
  <c r="V138" i="6"/>
  <c r="AB66" i="6"/>
  <c r="AD147" i="6"/>
  <c r="X39" i="6"/>
  <c r="Z120" i="6"/>
  <c r="Z21" i="6"/>
  <c r="Z84" i="6"/>
  <c r="AD57" i="6"/>
  <c r="Z30" i="6"/>
  <c r="AB111" i="6"/>
  <c r="R147" i="6" l="1"/>
  <c r="AJ148" i="6"/>
  <c r="AJ147" i="6" s="1"/>
  <c r="R21" i="6"/>
  <c r="AJ22" i="6"/>
  <c r="AJ21" i="6" s="1"/>
  <c r="R174" i="6"/>
  <c r="AJ175" i="6"/>
  <c r="AJ174" i="6" s="1"/>
  <c r="V9" i="6"/>
  <c r="R165" i="6"/>
  <c r="AJ166" i="6"/>
  <c r="AJ165" i="6" s="1"/>
  <c r="R84" i="6"/>
  <c r="AJ85" i="6"/>
  <c r="AJ84" i="6" s="1"/>
  <c r="T9" i="6"/>
  <c r="R192" i="6"/>
  <c r="AJ193" i="6"/>
  <c r="AJ192" i="6" s="1"/>
  <c r="R120" i="6"/>
  <c r="AJ121" i="6"/>
  <c r="AJ120" i="6" s="1"/>
  <c r="Z9" i="6"/>
  <c r="R57" i="6"/>
  <c r="AJ58" i="6"/>
  <c r="AJ57" i="6" s="1"/>
  <c r="R183" i="6"/>
  <c r="AJ184" i="6"/>
  <c r="AJ183" i="6" s="1"/>
  <c r="R39" i="6"/>
  <c r="AJ40" i="6"/>
  <c r="AJ39" i="6" s="1"/>
  <c r="AB9" i="6"/>
  <c r="R48" i="6"/>
  <c r="AJ49" i="6"/>
  <c r="AJ48" i="6" s="1"/>
  <c r="R30" i="6"/>
  <c r="AJ31" i="6"/>
  <c r="AJ30" i="6" s="1"/>
  <c r="R138" i="6"/>
  <c r="AJ139" i="6"/>
  <c r="AJ138" i="6" s="1"/>
  <c r="R129" i="6"/>
  <c r="AJ130" i="6"/>
  <c r="AJ129" i="6" s="1"/>
  <c r="R102" i="6"/>
  <c r="AJ103" i="6"/>
  <c r="AJ102" i="6" s="1"/>
  <c r="AD9" i="6"/>
  <c r="X9" i="6"/>
  <c r="R12" i="6"/>
  <c r="AJ13" i="6"/>
  <c r="AJ12" i="6" s="1"/>
  <c r="R111" i="6"/>
  <c r="AJ112" i="6"/>
  <c r="AJ111" i="6" s="1"/>
  <c r="R156" i="6"/>
  <c r="AJ157" i="6"/>
  <c r="AJ156" i="6" s="1"/>
  <c r="R93" i="6"/>
  <c r="AJ94" i="6"/>
  <c r="AJ93" i="6" s="1"/>
  <c r="R66" i="6"/>
  <c r="AJ67" i="6"/>
  <c r="AJ66" i="6" s="1"/>
  <c r="R75" i="6"/>
  <c r="AJ76" i="6"/>
  <c r="AJ75" i="6" s="1"/>
  <c r="AJ9" i="6" l="1"/>
  <c r="R9" i="6"/>
  <c r="AA120" i="6" l="1"/>
  <c r="AA9" i="6" s="1"/>
  <c r="AK121" i="6"/>
  <c r="AK120" i="6" s="1"/>
  <c r="AK9"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R57" authorId="3" shapeId="0" xr:uid="{00000000-0006-0000-0000-0000B4000000}">
      <text>
        <r>
          <rPr>
            <b/>
            <sz val="9"/>
            <color indexed="81"/>
            <rFont val="Tahoma"/>
            <family val="2"/>
          </rPr>
          <t>COFINANCIACIÓN DEPARTAMENTO</t>
        </r>
        <r>
          <rPr>
            <sz val="9"/>
            <color indexed="81"/>
            <rFont val="Tahoma"/>
            <family val="2"/>
          </rPr>
          <t xml:space="preserve">
</t>
        </r>
      </text>
    </comment>
    <comment ref="S57" authorId="3" shapeId="0" xr:uid="{00000000-0006-0000-0000-0000B5000000}">
      <text>
        <r>
          <rPr>
            <b/>
            <sz val="9"/>
            <color indexed="81"/>
            <rFont val="Tahoma"/>
            <family val="2"/>
          </rPr>
          <t>COFINANCIACIÓN DEPARTAMENTO</t>
        </r>
        <r>
          <rPr>
            <sz val="9"/>
            <color indexed="81"/>
            <rFont val="Tahoma"/>
            <family val="2"/>
          </rPr>
          <t xml:space="preserve">
</t>
        </r>
      </text>
    </comment>
    <comment ref="T57" authorId="3" shapeId="0" xr:uid="{00000000-0006-0000-0000-0000B6000000}">
      <text>
        <r>
          <rPr>
            <b/>
            <sz val="9"/>
            <color indexed="81"/>
            <rFont val="Tahoma"/>
            <family val="2"/>
          </rPr>
          <t>COFINACIACIÓN NACIÓN</t>
        </r>
      </text>
    </comment>
    <comment ref="U57" authorId="3" shapeId="0" xr:uid="{00000000-0006-0000-0000-0000B7000000}">
      <text>
        <r>
          <rPr>
            <b/>
            <sz val="9"/>
            <color indexed="81"/>
            <rFont val="Tahoma"/>
            <family val="2"/>
          </rPr>
          <t>COFINACIACIÓN NACIÓN</t>
        </r>
      </text>
    </comment>
    <comment ref="V57" authorId="3" shapeId="0" xr:uid="{00000000-0006-0000-0000-0000B8000000}">
      <text>
        <r>
          <rPr>
            <b/>
            <sz val="9"/>
            <color indexed="81"/>
            <rFont val="Tahoma"/>
            <family val="2"/>
          </rPr>
          <t>CRÉDITO</t>
        </r>
      </text>
    </comment>
    <comment ref="W57" authorId="3" shapeId="0" xr:uid="{00000000-0006-0000-0000-0000B9000000}">
      <text>
        <r>
          <rPr>
            <b/>
            <sz val="9"/>
            <color indexed="81"/>
            <rFont val="Tahoma"/>
            <family val="2"/>
          </rPr>
          <t>CRÉDITO</t>
        </r>
      </text>
    </comment>
    <comment ref="X57" authorId="3" shapeId="0" xr:uid="{00000000-0006-0000-0000-0000BA000000}">
      <text>
        <r>
          <rPr>
            <b/>
            <sz val="9"/>
            <color indexed="81"/>
            <rFont val="Tahoma"/>
            <family val="2"/>
          </rPr>
          <t>OTROS</t>
        </r>
      </text>
    </comment>
    <comment ref="Y57" authorId="3" shapeId="0" xr:uid="{00000000-0006-0000-0000-0000BB000000}">
      <text>
        <r>
          <rPr>
            <b/>
            <sz val="9"/>
            <color indexed="81"/>
            <rFont val="Tahoma"/>
            <family val="2"/>
          </rPr>
          <t>OTROS</t>
        </r>
      </text>
    </comment>
    <comment ref="Z57" authorId="3" shapeId="0" xr:uid="{00000000-0006-0000-0000-0000BC000000}">
      <text>
        <r>
          <rPr>
            <b/>
            <sz val="9"/>
            <color indexed="81"/>
            <rFont val="Tahoma"/>
            <family val="2"/>
          </rPr>
          <t>RECURSOS PROPIOS</t>
        </r>
      </text>
    </comment>
    <comment ref="AA57" authorId="3" shapeId="0" xr:uid="{00000000-0006-0000-0000-0000BD000000}">
      <text>
        <r>
          <rPr>
            <b/>
            <sz val="9"/>
            <color indexed="81"/>
            <rFont val="Tahoma"/>
            <family val="2"/>
          </rPr>
          <t>RECURSOS PROPIOS</t>
        </r>
      </text>
    </comment>
    <comment ref="AB57" authorId="3" shapeId="0" xr:uid="{00000000-0006-0000-0000-0000BE000000}">
      <text>
        <r>
          <rPr>
            <b/>
            <sz val="9"/>
            <color indexed="81"/>
            <rFont val="Tahoma"/>
            <family val="2"/>
          </rPr>
          <t>SGP</t>
        </r>
      </text>
    </comment>
    <comment ref="AC57" authorId="3" shapeId="0" xr:uid="{00000000-0006-0000-0000-0000BF000000}">
      <text>
        <r>
          <rPr>
            <b/>
            <sz val="9"/>
            <color indexed="81"/>
            <rFont val="Tahoma"/>
            <family val="2"/>
          </rPr>
          <t>SGP</t>
        </r>
      </text>
    </comment>
    <comment ref="AD57" authorId="3" shapeId="0" xr:uid="{00000000-0006-0000-0000-0000C0000000}">
      <text>
        <r>
          <rPr>
            <b/>
            <sz val="9"/>
            <color indexed="81"/>
            <rFont val="Tahoma"/>
            <family val="2"/>
          </rPr>
          <t>REGALÍAS</t>
        </r>
      </text>
    </comment>
    <comment ref="AE57" authorId="3" shapeId="0" xr:uid="{00000000-0006-0000-0000-0000C1000000}">
      <text>
        <r>
          <rPr>
            <b/>
            <sz val="9"/>
            <color indexed="81"/>
            <rFont val="Tahoma"/>
            <family val="2"/>
          </rPr>
          <t>REGALÍAS</t>
        </r>
      </text>
    </comment>
    <comment ref="AF57" authorId="3" shapeId="0" xr:uid="{00000000-0006-0000-0000-0000C2000000}">
      <text>
        <r>
          <rPr>
            <b/>
            <sz val="9"/>
            <color indexed="81"/>
            <rFont val="Tahoma"/>
            <family val="2"/>
          </rPr>
          <t>RECURSOS FUNCIONAMIENTO</t>
        </r>
      </text>
    </comment>
    <comment ref="AG57" authorId="3" shapeId="0" xr:uid="{00000000-0006-0000-0000-0000C3000000}">
      <text>
        <r>
          <rPr>
            <b/>
            <sz val="9"/>
            <color indexed="81"/>
            <rFont val="Tahoma"/>
            <family val="2"/>
          </rPr>
          <t>RECURSOS FUNCIONAMIENTO</t>
        </r>
      </text>
    </comment>
    <comment ref="AH57" authorId="3" shapeId="0" xr:uid="{00000000-0006-0000-0000-0000C4000000}">
      <text>
        <r>
          <rPr>
            <b/>
            <sz val="9"/>
            <color indexed="81"/>
            <rFont val="Tahoma"/>
            <family val="2"/>
          </rPr>
          <t>RECURSOS GESTIONADOS</t>
        </r>
      </text>
    </comment>
    <comment ref="AI57" authorId="3" shapeId="0" xr:uid="{00000000-0006-0000-0000-0000C5000000}">
      <text>
        <r>
          <rPr>
            <b/>
            <sz val="9"/>
            <color indexed="81"/>
            <rFont val="Tahoma"/>
            <family val="2"/>
          </rPr>
          <t>RECURSOS GESTIONADOS</t>
        </r>
      </text>
    </comment>
    <comment ref="AJ57" authorId="3" shapeId="0" xr:uid="{00000000-0006-0000-0000-0000C6000000}">
      <text>
        <r>
          <rPr>
            <b/>
            <sz val="9"/>
            <color indexed="81"/>
            <rFont val="Tahoma"/>
            <family val="2"/>
          </rPr>
          <t>TOTALES</t>
        </r>
        <r>
          <rPr>
            <sz val="9"/>
            <color indexed="81"/>
            <rFont val="Tahoma"/>
            <family val="2"/>
          </rPr>
          <t xml:space="preserve">
</t>
        </r>
      </text>
    </comment>
    <comment ref="AK57" authorId="3" shapeId="0" xr:uid="{00000000-0006-0000-0000-0000C7000000}">
      <text>
        <r>
          <rPr>
            <b/>
            <sz val="9"/>
            <color indexed="81"/>
            <rFont val="Tahoma"/>
            <family val="2"/>
          </rPr>
          <t>TOTALES</t>
        </r>
        <r>
          <rPr>
            <sz val="9"/>
            <color indexed="81"/>
            <rFont val="Tahoma"/>
            <family val="2"/>
          </rPr>
          <t xml:space="preserve">
</t>
        </r>
      </text>
    </comment>
    <comment ref="AL57" authorId="2" shapeId="0" xr:uid="{00000000-0006-0000-0000-0000C8000000}">
      <text>
        <r>
          <rPr>
            <b/>
            <sz val="8"/>
            <color indexed="81"/>
            <rFont val="Tahoma"/>
            <family val="2"/>
          </rPr>
          <t>PRIMERA INFANCIA (0 a 5 años)</t>
        </r>
        <r>
          <rPr>
            <sz val="8"/>
            <color indexed="81"/>
            <rFont val="Tahoma"/>
            <family val="2"/>
          </rPr>
          <t xml:space="preserve">
</t>
        </r>
      </text>
    </comment>
    <comment ref="AM57" authorId="2" shapeId="0" xr:uid="{00000000-0006-0000-0000-0000C9000000}">
      <text>
        <r>
          <rPr>
            <b/>
            <sz val="8"/>
            <color indexed="81"/>
            <rFont val="Tahoma"/>
            <family val="2"/>
          </rPr>
          <t>INFANCIA (6 a 11 años)</t>
        </r>
        <r>
          <rPr>
            <sz val="8"/>
            <color indexed="81"/>
            <rFont val="Tahoma"/>
            <family val="2"/>
          </rPr>
          <t xml:space="preserve">
</t>
        </r>
      </text>
    </comment>
    <comment ref="AN57" authorId="2" shapeId="0" xr:uid="{00000000-0006-0000-0000-0000CA000000}">
      <text>
        <r>
          <rPr>
            <b/>
            <sz val="8"/>
            <color indexed="81"/>
            <rFont val="Tahoma"/>
            <family val="2"/>
          </rPr>
          <t>ADOLESCENCIA (12 A 17 años)</t>
        </r>
      </text>
    </comment>
    <comment ref="AO57" authorId="2" shapeId="0" xr:uid="{00000000-0006-0000-0000-0000CB000000}">
      <text>
        <r>
          <rPr>
            <b/>
            <sz val="8"/>
            <color indexed="81"/>
            <rFont val="Tahoma"/>
            <family val="2"/>
          </rPr>
          <t>JUVENTUD (18 a 28 años)</t>
        </r>
        <r>
          <rPr>
            <sz val="8"/>
            <color indexed="81"/>
            <rFont val="Tahoma"/>
            <family val="2"/>
          </rPr>
          <t xml:space="preserve">
</t>
        </r>
      </text>
    </comment>
    <comment ref="AP5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D000000}">
      <text>
        <r>
          <rPr>
            <b/>
            <sz val="8"/>
            <color indexed="81"/>
            <rFont val="Tahoma"/>
            <family val="2"/>
          </rPr>
          <t>ADULTO MAYOR  (61 años en adelante)</t>
        </r>
        <r>
          <rPr>
            <sz val="8"/>
            <color indexed="81"/>
            <rFont val="Tahoma"/>
            <family val="2"/>
          </rPr>
          <t xml:space="preserve">
</t>
        </r>
      </text>
    </comment>
    <comment ref="AS57" authorId="2" shapeId="0" xr:uid="{00000000-0006-0000-0000-0000CE000000}">
      <text>
        <r>
          <rPr>
            <b/>
            <sz val="8"/>
            <color indexed="81"/>
            <rFont val="Tahoma"/>
            <family val="2"/>
          </rPr>
          <t>MUJERES</t>
        </r>
        <r>
          <rPr>
            <sz val="8"/>
            <color indexed="81"/>
            <rFont val="Tahoma"/>
            <family val="2"/>
          </rPr>
          <t xml:space="preserve">
</t>
        </r>
      </text>
    </comment>
    <comment ref="AT57" authorId="2" shapeId="0" xr:uid="{00000000-0006-0000-0000-0000CF000000}">
      <text>
        <r>
          <rPr>
            <b/>
            <sz val="8"/>
            <color indexed="81"/>
            <rFont val="Tahoma"/>
            <family val="2"/>
          </rPr>
          <t>HOMBRES</t>
        </r>
      </text>
    </comment>
    <comment ref="AV57" authorId="2" shapeId="0" xr:uid="{00000000-0006-0000-0000-0000D0000000}">
      <text>
        <r>
          <rPr>
            <b/>
            <sz val="8"/>
            <color indexed="81"/>
            <rFont val="Tahoma"/>
            <family val="2"/>
          </rPr>
          <t>VÍCTIMAS CONFLICTO ARMADO</t>
        </r>
        <r>
          <rPr>
            <sz val="8"/>
            <color indexed="81"/>
            <rFont val="Tahoma"/>
            <family val="2"/>
          </rPr>
          <t xml:space="preserve">
</t>
        </r>
      </text>
    </comment>
    <comment ref="AX57" authorId="2" shapeId="0" xr:uid="{00000000-0006-0000-0000-0000D1000000}">
      <text>
        <r>
          <rPr>
            <b/>
            <sz val="8"/>
            <color indexed="81"/>
            <rFont val="Tahoma"/>
            <family val="2"/>
          </rPr>
          <t>DISCAPACITADOS</t>
        </r>
        <r>
          <rPr>
            <sz val="8"/>
            <color indexed="81"/>
            <rFont val="Tahoma"/>
            <family val="2"/>
          </rPr>
          <t xml:space="preserve">
</t>
        </r>
      </text>
    </comment>
    <comment ref="AY57" authorId="2" shapeId="0" xr:uid="{00000000-0006-0000-0000-0000D2000000}">
      <text>
        <r>
          <rPr>
            <b/>
            <sz val="8"/>
            <color indexed="81"/>
            <rFont val="Tahoma"/>
            <family val="2"/>
          </rPr>
          <t>AFROCOLOMBIANO O RAIZAL</t>
        </r>
      </text>
    </comment>
    <comment ref="AZ57" authorId="2" shapeId="0" xr:uid="{00000000-0006-0000-0000-0000D3000000}">
      <text>
        <r>
          <rPr>
            <b/>
            <sz val="8"/>
            <color indexed="81"/>
            <rFont val="Tahoma"/>
            <family val="2"/>
          </rPr>
          <t>INDÍGENAS</t>
        </r>
        <r>
          <rPr>
            <sz val="8"/>
            <color indexed="81"/>
            <rFont val="Tahoma"/>
            <family val="2"/>
          </rPr>
          <t xml:space="preserve">
</t>
        </r>
      </text>
    </comment>
    <comment ref="BA57" authorId="1" shapeId="0" xr:uid="{00000000-0006-0000-0000-0000D4000000}">
      <text>
        <r>
          <rPr>
            <b/>
            <sz val="9"/>
            <color indexed="81"/>
            <rFont val="Tahoma"/>
            <family val="2"/>
          </rPr>
          <t>MEDIO DE EVIDENCIA. INFORME, RESGISTRO FOTOGRAFICO, PLANILLA, ETC</t>
        </r>
      </text>
    </comment>
    <comment ref="R66" authorId="3" shapeId="0" xr:uid="{00000000-0006-0000-0000-0000D5000000}">
      <text>
        <r>
          <rPr>
            <b/>
            <sz val="9"/>
            <color indexed="81"/>
            <rFont val="Tahoma"/>
            <family val="2"/>
          </rPr>
          <t>COFINANCIACIÓN DEPARTAMENTO</t>
        </r>
        <r>
          <rPr>
            <sz val="9"/>
            <color indexed="81"/>
            <rFont val="Tahoma"/>
            <family val="2"/>
          </rPr>
          <t xml:space="preserve">
</t>
        </r>
      </text>
    </comment>
    <comment ref="S66" authorId="3" shapeId="0" xr:uid="{00000000-0006-0000-0000-0000D6000000}">
      <text>
        <r>
          <rPr>
            <b/>
            <sz val="9"/>
            <color indexed="81"/>
            <rFont val="Tahoma"/>
            <family val="2"/>
          </rPr>
          <t>COFINANCIACIÓN DEPARTAMENTO</t>
        </r>
        <r>
          <rPr>
            <sz val="9"/>
            <color indexed="81"/>
            <rFont val="Tahoma"/>
            <family val="2"/>
          </rPr>
          <t xml:space="preserve">
</t>
        </r>
      </text>
    </comment>
    <comment ref="T66" authorId="3" shapeId="0" xr:uid="{00000000-0006-0000-0000-0000D7000000}">
      <text>
        <r>
          <rPr>
            <b/>
            <sz val="9"/>
            <color indexed="81"/>
            <rFont val="Tahoma"/>
            <family val="2"/>
          </rPr>
          <t>COFINACIACIÓN NACIÓN</t>
        </r>
      </text>
    </comment>
    <comment ref="U66" authorId="3" shapeId="0" xr:uid="{00000000-0006-0000-0000-0000D8000000}">
      <text>
        <r>
          <rPr>
            <b/>
            <sz val="9"/>
            <color indexed="81"/>
            <rFont val="Tahoma"/>
            <family val="2"/>
          </rPr>
          <t>COFINACIACIÓN NACIÓN</t>
        </r>
      </text>
    </comment>
    <comment ref="V66" authorId="3" shapeId="0" xr:uid="{00000000-0006-0000-0000-0000D9000000}">
      <text>
        <r>
          <rPr>
            <b/>
            <sz val="9"/>
            <color indexed="81"/>
            <rFont val="Tahoma"/>
            <family val="2"/>
          </rPr>
          <t>CRÉDITO</t>
        </r>
      </text>
    </comment>
    <comment ref="W66" authorId="3" shapeId="0" xr:uid="{00000000-0006-0000-0000-0000DA000000}">
      <text>
        <r>
          <rPr>
            <b/>
            <sz val="9"/>
            <color indexed="81"/>
            <rFont val="Tahoma"/>
            <family val="2"/>
          </rPr>
          <t>CRÉDITO</t>
        </r>
      </text>
    </comment>
    <comment ref="X66" authorId="3" shapeId="0" xr:uid="{00000000-0006-0000-0000-0000DB000000}">
      <text>
        <r>
          <rPr>
            <b/>
            <sz val="9"/>
            <color indexed="81"/>
            <rFont val="Tahoma"/>
            <family val="2"/>
          </rPr>
          <t>OTROS</t>
        </r>
      </text>
    </comment>
    <comment ref="Y66" authorId="3" shapeId="0" xr:uid="{00000000-0006-0000-0000-0000DC000000}">
      <text>
        <r>
          <rPr>
            <b/>
            <sz val="9"/>
            <color indexed="81"/>
            <rFont val="Tahoma"/>
            <family val="2"/>
          </rPr>
          <t>OTROS</t>
        </r>
      </text>
    </comment>
    <comment ref="Z66" authorId="3" shapeId="0" xr:uid="{00000000-0006-0000-0000-0000DD000000}">
      <text>
        <r>
          <rPr>
            <b/>
            <sz val="9"/>
            <color indexed="81"/>
            <rFont val="Tahoma"/>
            <family val="2"/>
          </rPr>
          <t>RECURSOS PROPIOS</t>
        </r>
      </text>
    </comment>
    <comment ref="AA66" authorId="3" shapeId="0" xr:uid="{00000000-0006-0000-0000-0000DE000000}">
      <text>
        <r>
          <rPr>
            <b/>
            <sz val="9"/>
            <color indexed="81"/>
            <rFont val="Tahoma"/>
            <family val="2"/>
          </rPr>
          <t>RECURSOS PROPIOS</t>
        </r>
      </text>
    </comment>
    <comment ref="AB66" authorId="3" shapeId="0" xr:uid="{00000000-0006-0000-0000-0000DF000000}">
      <text>
        <r>
          <rPr>
            <b/>
            <sz val="9"/>
            <color indexed="81"/>
            <rFont val="Tahoma"/>
            <family val="2"/>
          </rPr>
          <t>SGP</t>
        </r>
      </text>
    </comment>
    <comment ref="AC66" authorId="3" shapeId="0" xr:uid="{00000000-0006-0000-0000-0000E0000000}">
      <text>
        <r>
          <rPr>
            <b/>
            <sz val="9"/>
            <color indexed="81"/>
            <rFont val="Tahoma"/>
            <family val="2"/>
          </rPr>
          <t>SGP</t>
        </r>
      </text>
    </comment>
    <comment ref="AD66" authorId="3" shapeId="0" xr:uid="{00000000-0006-0000-0000-0000E1000000}">
      <text>
        <r>
          <rPr>
            <b/>
            <sz val="9"/>
            <color indexed="81"/>
            <rFont val="Tahoma"/>
            <family val="2"/>
          </rPr>
          <t>REGALÍAS</t>
        </r>
      </text>
    </comment>
    <comment ref="AE66" authorId="3" shapeId="0" xr:uid="{00000000-0006-0000-0000-0000E2000000}">
      <text>
        <r>
          <rPr>
            <b/>
            <sz val="9"/>
            <color indexed="81"/>
            <rFont val="Tahoma"/>
            <family val="2"/>
          </rPr>
          <t>REGALÍAS</t>
        </r>
      </text>
    </comment>
    <comment ref="AF66" authorId="3" shapeId="0" xr:uid="{00000000-0006-0000-0000-0000E3000000}">
      <text>
        <r>
          <rPr>
            <b/>
            <sz val="9"/>
            <color indexed="81"/>
            <rFont val="Tahoma"/>
            <family val="2"/>
          </rPr>
          <t>RECURSOS FUNCIONAMIENTO</t>
        </r>
      </text>
    </comment>
    <comment ref="AG66" authorId="3" shapeId="0" xr:uid="{00000000-0006-0000-0000-0000E4000000}">
      <text>
        <r>
          <rPr>
            <b/>
            <sz val="9"/>
            <color indexed="81"/>
            <rFont val="Tahoma"/>
            <family val="2"/>
          </rPr>
          <t>RECURSOS FUNCIONAMIENTO</t>
        </r>
      </text>
    </comment>
    <comment ref="AH66" authorId="3" shapeId="0" xr:uid="{00000000-0006-0000-0000-0000E5000000}">
      <text>
        <r>
          <rPr>
            <b/>
            <sz val="9"/>
            <color indexed="81"/>
            <rFont val="Tahoma"/>
            <family val="2"/>
          </rPr>
          <t>RECURSOS GESTIONADOS</t>
        </r>
      </text>
    </comment>
    <comment ref="AI66" authorId="3" shapeId="0" xr:uid="{00000000-0006-0000-0000-0000E6000000}">
      <text>
        <r>
          <rPr>
            <b/>
            <sz val="9"/>
            <color indexed="81"/>
            <rFont val="Tahoma"/>
            <family val="2"/>
          </rPr>
          <t>RECURSOS GESTIONADOS</t>
        </r>
      </text>
    </comment>
    <comment ref="AJ66" authorId="3" shapeId="0" xr:uid="{00000000-0006-0000-0000-0000E7000000}">
      <text>
        <r>
          <rPr>
            <b/>
            <sz val="9"/>
            <color indexed="81"/>
            <rFont val="Tahoma"/>
            <family val="2"/>
          </rPr>
          <t>TOTALES</t>
        </r>
        <r>
          <rPr>
            <sz val="9"/>
            <color indexed="81"/>
            <rFont val="Tahoma"/>
            <family val="2"/>
          </rPr>
          <t xml:space="preserve">
</t>
        </r>
      </text>
    </comment>
    <comment ref="AK66" authorId="3" shapeId="0" xr:uid="{00000000-0006-0000-0000-0000E8000000}">
      <text>
        <r>
          <rPr>
            <b/>
            <sz val="9"/>
            <color indexed="81"/>
            <rFont val="Tahoma"/>
            <family val="2"/>
          </rPr>
          <t>TOTALES</t>
        </r>
        <r>
          <rPr>
            <sz val="9"/>
            <color indexed="81"/>
            <rFont val="Tahoma"/>
            <family val="2"/>
          </rPr>
          <t xml:space="preserve">
</t>
        </r>
      </text>
    </comment>
    <comment ref="AL66" authorId="2" shapeId="0" xr:uid="{00000000-0006-0000-0000-0000E9000000}">
      <text>
        <r>
          <rPr>
            <b/>
            <sz val="8"/>
            <color indexed="81"/>
            <rFont val="Tahoma"/>
            <family val="2"/>
          </rPr>
          <t>PRIMERA INFANCIA (0 a 5 años)</t>
        </r>
        <r>
          <rPr>
            <sz val="8"/>
            <color indexed="81"/>
            <rFont val="Tahoma"/>
            <family val="2"/>
          </rPr>
          <t xml:space="preserve">
</t>
        </r>
      </text>
    </comment>
    <comment ref="AM66" authorId="2" shapeId="0" xr:uid="{00000000-0006-0000-0000-0000EA000000}">
      <text>
        <r>
          <rPr>
            <b/>
            <sz val="8"/>
            <color indexed="81"/>
            <rFont val="Tahoma"/>
            <family val="2"/>
          </rPr>
          <t>INFANCIA (6 a 11 años)</t>
        </r>
        <r>
          <rPr>
            <sz val="8"/>
            <color indexed="81"/>
            <rFont val="Tahoma"/>
            <family val="2"/>
          </rPr>
          <t xml:space="preserve">
</t>
        </r>
      </text>
    </comment>
    <comment ref="AN66" authorId="2" shapeId="0" xr:uid="{00000000-0006-0000-0000-0000EB000000}">
      <text>
        <r>
          <rPr>
            <b/>
            <sz val="8"/>
            <color indexed="81"/>
            <rFont val="Tahoma"/>
            <family val="2"/>
          </rPr>
          <t>ADOLESCENCIA (12 A 17 años)</t>
        </r>
      </text>
    </comment>
    <comment ref="AO66" authorId="2" shapeId="0" xr:uid="{00000000-0006-0000-0000-0000EC000000}">
      <text>
        <r>
          <rPr>
            <b/>
            <sz val="8"/>
            <color indexed="81"/>
            <rFont val="Tahoma"/>
            <family val="2"/>
          </rPr>
          <t>JUVENTUD (18 a 28 años)</t>
        </r>
        <r>
          <rPr>
            <sz val="8"/>
            <color indexed="81"/>
            <rFont val="Tahoma"/>
            <family val="2"/>
          </rPr>
          <t xml:space="preserve">
</t>
        </r>
      </text>
    </comment>
    <comment ref="AP66"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EE000000}">
      <text>
        <r>
          <rPr>
            <b/>
            <sz val="8"/>
            <color indexed="81"/>
            <rFont val="Tahoma"/>
            <family val="2"/>
          </rPr>
          <t>ADULTO MAYOR  (61 años en adelante)</t>
        </r>
        <r>
          <rPr>
            <sz val="8"/>
            <color indexed="81"/>
            <rFont val="Tahoma"/>
            <family val="2"/>
          </rPr>
          <t xml:space="preserve">
</t>
        </r>
      </text>
    </comment>
    <comment ref="AS66" authorId="2" shapeId="0" xr:uid="{00000000-0006-0000-0000-0000EF000000}">
      <text>
        <r>
          <rPr>
            <b/>
            <sz val="8"/>
            <color indexed="81"/>
            <rFont val="Tahoma"/>
            <family val="2"/>
          </rPr>
          <t>MUJERES</t>
        </r>
        <r>
          <rPr>
            <sz val="8"/>
            <color indexed="81"/>
            <rFont val="Tahoma"/>
            <family val="2"/>
          </rPr>
          <t xml:space="preserve">
</t>
        </r>
      </text>
    </comment>
    <comment ref="AT66" authorId="2" shapeId="0" xr:uid="{00000000-0006-0000-0000-0000F0000000}">
      <text>
        <r>
          <rPr>
            <b/>
            <sz val="8"/>
            <color indexed="81"/>
            <rFont val="Tahoma"/>
            <family val="2"/>
          </rPr>
          <t>HOMBRES</t>
        </r>
      </text>
    </comment>
    <comment ref="AV66" authorId="2" shapeId="0" xr:uid="{00000000-0006-0000-0000-0000F1000000}">
      <text>
        <r>
          <rPr>
            <b/>
            <sz val="8"/>
            <color indexed="81"/>
            <rFont val="Tahoma"/>
            <family val="2"/>
          </rPr>
          <t>VÍCTIMAS CONFLICTO ARMADO</t>
        </r>
        <r>
          <rPr>
            <sz val="8"/>
            <color indexed="81"/>
            <rFont val="Tahoma"/>
            <family val="2"/>
          </rPr>
          <t xml:space="preserve">
</t>
        </r>
      </text>
    </comment>
    <comment ref="AX66" authorId="2" shapeId="0" xr:uid="{00000000-0006-0000-0000-0000F2000000}">
      <text>
        <r>
          <rPr>
            <b/>
            <sz val="8"/>
            <color indexed="81"/>
            <rFont val="Tahoma"/>
            <family val="2"/>
          </rPr>
          <t>DISCAPACITADOS</t>
        </r>
        <r>
          <rPr>
            <sz val="8"/>
            <color indexed="81"/>
            <rFont val="Tahoma"/>
            <family val="2"/>
          </rPr>
          <t xml:space="preserve">
</t>
        </r>
      </text>
    </comment>
    <comment ref="AY66" authorId="2" shapeId="0" xr:uid="{00000000-0006-0000-0000-0000F3000000}">
      <text>
        <r>
          <rPr>
            <b/>
            <sz val="8"/>
            <color indexed="81"/>
            <rFont val="Tahoma"/>
            <family val="2"/>
          </rPr>
          <t>AFROCOLOMBIANO O RAIZAL</t>
        </r>
      </text>
    </comment>
    <comment ref="AZ66" authorId="2" shapeId="0" xr:uid="{00000000-0006-0000-0000-0000F4000000}">
      <text>
        <r>
          <rPr>
            <b/>
            <sz val="8"/>
            <color indexed="81"/>
            <rFont val="Tahoma"/>
            <family val="2"/>
          </rPr>
          <t>INDÍGENAS</t>
        </r>
        <r>
          <rPr>
            <sz val="8"/>
            <color indexed="81"/>
            <rFont val="Tahoma"/>
            <family val="2"/>
          </rPr>
          <t xml:space="preserve">
</t>
        </r>
      </text>
    </comment>
    <comment ref="BA66" authorId="1" shapeId="0" xr:uid="{00000000-0006-0000-0000-0000F5000000}">
      <text>
        <r>
          <rPr>
            <b/>
            <sz val="9"/>
            <color indexed="81"/>
            <rFont val="Tahoma"/>
            <family val="2"/>
          </rPr>
          <t>MEDIO DE EVIDENCIA. INFORME, RESGISTRO FOTOGRAFICO, PLANILLA, ETC</t>
        </r>
      </text>
    </comment>
    <comment ref="R75" authorId="3" shapeId="0" xr:uid="{00000000-0006-0000-0000-0000F6000000}">
      <text>
        <r>
          <rPr>
            <b/>
            <sz val="9"/>
            <color indexed="81"/>
            <rFont val="Tahoma"/>
            <family val="2"/>
          </rPr>
          <t>COFINANCIACIÓN DEPARTAMENTO</t>
        </r>
        <r>
          <rPr>
            <sz val="9"/>
            <color indexed="81"/>
            <rFont val="Tahoma"/>
            <family val="2"/>
          </rPr>
          <t xml:space="preserve">
</t>
        </r>
      </text>
    </comment>
    <comment ref="S75" authorId="3" shapeId="0" xr:uid="{00000000-0006-0000-0000-0000F7000000}">
      <text>
        <r>
          <rPr>
            <b/>
            <sz val="9"/>
            <color indexed="81"/>
            <rFont val="Tahoma"/>
            <family val="2"/>
          </rPr>
          <t>COFINANCIACIÓN DEPARTAMENTO</t>
        </r>
        <r>
          <rPr>
            <sz val="9"/>
            <color indexed="81"/>
            <rFont val="Tahoma"/>
            <family val="2"/>
          </rPr>
          <t xml:space="preserve">
</t>
        </r>
      </text>
    </comment>
    <comment ref="T75" authorId="3" shapeId="0" xr:uid="{00000000-0006-0000-0000-0000F8000000}">
      <text>
        <r>
          <rPr>
            <b/>
            <sz val="9"/>
            <color indexed="81"/>
            <rFont val="Tahoma"/>
            <family val="2"/>
          </rPr>
          <t>COFINACIACIÓN NACIÓN</t>
        </r>
      </text>
    </comment>
    <comment ref="U75" authorId="3" shapeId="0" xr:uid="{00000000-0006-0000-0000-0000F9000000}">
      <text>
        <r>
          <rPr>
            <b/>
            <sz val="9"/>
            <color indexed="81"/>
            <rFont val="Tahoma"/>
            <family val="2"/>
          </rPr>
          <t>COFINACIACIÓN NACIÓN</t>
        </r>
      </text>
    </comment>
    <comment ref="V75" authorId="3" shapeId="0" xr:uid="{00000000-0006-0000-0000-0000FA000000}">
      <text>
        <r>
          <rPr>
            <b/>
            <sz val="9"/>
            <color indexed="81"/>
            <rFont val="Tahoma"/>
            <family val="2"/>
          </rPr>
          <t>CRÉDITO</t>
        </r>
      </text>
    </comment>
    <comment ref="W75" authorId="3" shapeId="0" xr:uid="{00000000-0006-0000-0000-0000FB000000}">
      <text>
        <r>
          <rPr>
            <b/>
            <sz val="9"/>
            <color indexed="81"/>
            <rFont val="Tahoma"/>
            <family val="2"/>
          </rPr>
          <t>CRÉDITO</t>
        </r>
      </text>
    </comment>
    <comment ref="X75" authorId="3" shapeId="0" xr:uid="{00000000-0006-0000-0000-0000FC000000}">
      <text>
        <r>
          <rPr>
            <b/>
            <sz val="9"/>
            <color indexed="81"/>
            <rFont val="Tahoma"/>
            <family val="2"/>
          </rPr>
          <t>OTROS</t>
        </r>
      </text>
    </comment>
    <comment ref="Y75" authorId="3" shapeId="0" xr:uid="{00000000-0006-0000-0000-0000FD000000}">
      <text>
        <r>
          <rPr>
            <b/>
            <sz val="9"/>
            <color indexed="81"/>
            <rFont val="Tahoma"/>
            <family val="2"/>
          </rPr>
          <t>OTROS</t>
        </r>
      </text>
    </comment>
    <comment ref="Z75" authorId="3" shapeId="0" xr:uid="{00000000-0006-0000-0000-0000FE000000}">
      <text>
        <r>
          <rPr>
            <b/>
            <sz val="9"/>
            <color indexed="81"/>
            <rFont val="Tahoma"/>
            <family val="2"/>
          </rPr>
          <t>RECURSOS PROPIOS</t>
        </r>
      </text>
    </comment>
    <comment ref="AA75" authorId="3" shapeId="0" xr:uid="{00000000-0006-0000-0000-0000FF000000}">
      <text>
        <r>
          <rPr>
            <b/>
            <sz val="9"/>
            <color indexed="81"/>
            <rFont val="Tahoma"/>
            <family val="2"/>
          </rPr>
          <t>RECURSOS PROPIOS</t>
        </r>
      </text>
    </comment>
    <comment ref="AB75" authorId="3" shapeId="0" xr:uid="{00000000-0006-0000-0000-000000010000}">
      <text>
        <r>
          <rPr>
            <b/>
            <sz val="9"/>
            <color indexed="81"/>
            <rFont val="Tahoma"/>
            <family val="2"/>
          </rPr>
          <t>SGP</t>
        </r>
      </text>
    </comment>
    <comment ref="AC75" authorId="3" shapeId="0" xr:uid="{00000000-0006-0000-0000-000001010000}">
      <text>
        <r>
          <rPr>
            <b/>
            <sz val="9"/>
            <color indexed="81"/>
            <rFont val="Tahoma"/>
            <family val="2"/>
          </rPr>
          <t>SGP</t>
        </r>
      </text>
    </comment>
    <comment ref="AD75" authorId="3" shapeId="0" xr:uid="{00000000-0006-0000-0000-000002010000}">
      <text>
        <r>
          <rPr>
            <b/>
            <sz val="9"/>
            <color indexed="81"/>
            <rFont val="Tahoma"/>
            <family val="2"/>
          </rPr>
          <t>REGALÍAS</t>
        </r>
      </text>
    </comment>
    <comment ref="AE75" authorId="3" shapeId="0" xr:uid="{00000000-0006-0000-0000-000003010000}">
      <text>
        <r>
          <rPr>
            <b/>
            <sz val="9"/>
            <color indexed="81"/>
            <rFont val="Tahoma"/>
            <family val="2"/>
          </rPr>
          <t>REGALÍAS</t>
        </r>
      </text>
    </comment>
    <comment ref="AF75" authorId="3" shapeId="0" xr:uid="{00000000-0006-0000-0000-000004010000}">
      <text>
        <r>
          <rPr>
            <b/>
            <sz val="9"/>
            <color indexed="81"/>
            <rFont val="Tahoma"/>
            <family val="2"/>
          </rPr>
          <t>RECURSOS FUNCIONAMIENTO</t>
        </r>
      </text>
    </comment>
    <comment ref="AG75" authorId="3" shapeId="0" xr:uid="{00000000-0006-0000-0000-000005010000}">
      <text>
        <r>
          <rPr>
            <b/>
            <sz val="9"/>
            <color indexed="81"/>
            <rFont val="Tahoma"/>
            <family val="2"/>
          </rPr>
          <t>RECURSOS FUNCIONAMIENTO</t>
        </r>
      </text>
    </comment>
    <comment ref="AH75" authorId="3" shapeId="0" xr:uid="{00000000-0006-0000-0000-000006010000}">
      <text>
        <r>
          <rPr>
            <b/>
            <sz val="9"/>
            <color indexed="81"/>
            <rFont val="Tahoma"/>
            <family val="2"/>
          </rPr>
          <t>RECURSOS GESTIONADOS</t>
        </r>
      </text>
    </comment>
    <comment ref="AI75" authorId="3" shapeId="0" xr:uid="{00000000-0006-0000-0000-000007010000}">
      <text>
        <r>
          <rPr>
            <b/>
            <sz val="9"/>
            <color indexed="81"/>
            <rFont val="Tahoma"/>
            <family val="2"/>
          </rPr>
          <t>RECURSOS GESTIONADOS</t>
        </r>
      </text>
    </comment>
    <comment ref="AJ75" authorId="3" shapeId="0" xr:uid="{00000000-0006-0000-0000-000008010000}">
      <text>
        <r>
          <rPr>
            <b/>
            <sz val="9"/>
            <color indexed="81"/>
            <rFont val="Tahoma"/>
            <family val="2"/>
          </rPr>
          <t>TOTALES</t>
        </r>
        <r>
          <rPr>
            <sz val="9"/>
            <color indexed="81"/>
            <rFont val="Tahoma"/>
            <family val="2"/>
          </rPr>
          <t xml:space="preserve">
</t>
        </r>
      </text>
    </comment>
    <comment ref="AK75" authorId="3" shapeId="0" xr:uid="{00000000-0006-0000-0000-000009010000}">
      <text>
        <r>
          <rPr>
            <b/>
            <sz val="9"/>
            <color indexed="81"/>
            <rFont val="Tahoma"/>
            <family val="2"/>
          </rPr>
          <t>TOTALES</t>
        </r>
        <r>
          <rPr>
            <sz val="9"/>
            <color indexed="81"/>
            <rFont val="Tahoma"/>
            <family val="2"/>
          </rPr>
          <t xml:space="preserve">
</t>
        </r>
      </text>
    </comment>
    <comment ref="AL75" authorId="2" shapeId="0" xr:uid="{00000000-0006-0000-0000-00000A010000}">
      <text>
        <r>
          <rPr>
            <b/>
            <sz val="8"/>
            <color indexed="81"/>
            <rFont val="Tahoma"/>
            <family val="2"/>
          </rPr>
          <t>PRIMERA INFANCIA (0 a 5 años)</t>
        </r>
        <r>
          <rPr>
            <sz val="8"/>
            <color indexed="81"/>
            <rFont val="Tahoma"/>
            <family val="2"/>
          </rPr>
          <t xml:space="preserve">
</t>
        </r>
      </text>
    </comment>
    <comment ref="AM75" authorId="2" shapeId="0" xr:uid="{00000000-0006-0000-0000-00000B010000}">
      <text>
        <r>
          <rPr>
            <b/>
            <sz val="8"/>
            <color indexed="81"/>
            <rFont val="Tahoma"/>
            <family val="2"/>
          </rPr>
          <t>INFANCIA (6 a 11 años)</t>
        </r>
        <r>
          <rPr>
            <sz val="8"/>
            <color indexed="81"/>
            <rFont val="Tahoma"/>
            <family val="2"/>
          </rPr>
          <t xml:space="preserve">
</t>
        </r>
      </text>
    </comment>
    <comment ref="AN75" authorId="2" shapeId="0" xr:uid="{00000000-0006-0000-0000-00000C010000}">
      <text>
        <r>
          <rPr>
            <b/>
            <sz val="8"/>
            <color indexed="81"/>
            <rFont val="Tahoma"/>
            <family val="2"/>
          </rPr>
          <t>ADOLESCENCIA (12 A 17 años)</t>
        </r>
      </text>
    </comment>
    <comment ref="AO75" authorId="2" shapeId="0" xr:uid="{00000000-0006-0000-0000-00000D010000}">
      <text>
        <r>
          <rPr>
            <b/>
            <sz val="8"/>
            <color indexed="81"/>
            <rFont val="Tahoma"/>
            <family val="2"/>
          </rPr>
          <t>JUVENTUD (18 a 28 años)</t>
        </r>
        <r>
          <rPr>
            <sz val="8"/>
            <color indexed="81"/>
            <rFont val="Tahoma"/>
            <family val="2"/>
          </rPr>
          <t xml:space="preserve">
</t>
        </r>
      </text>
    </comment>
    <comment ref="AP75" authorId="2" shapeId="0" xr:uid="{00000000-0006-0000-0000-00000E010000}">
      <text>
        <r>
          <rPr>
            <b/>
            <sz val="8"/>
            <color indexed="81"/>
            <rFont val="Tahoma"/>
            <family val="2"/>
          </rPr>
          <t xml:space="preserve"> ADULTO (29 a 60 años)</t>
        </r>
        <r>
          <rPr>
            <sz val="8"/>
            <color indexed="81"/>
            <rFont val="Tahoma"/>
            <family val="2"/>
          </rPr>
          <t xml:space="preserve">
</t>
        </r>
      </text>
    </comment>
    <comment ref="AQ75" authorId="2" shapeId="0" xr:uid="{00000000-0006-0000-0000-00000F010000}">
      <text>
        <r>
          <rPr>
            <b/>
            <sz val="8"/>
            <color indexed="81"/>
            <rFont val="Tahoma"/>
            <family val="2"/>
          </rPr>
          <t>ADULTO MAYOR  (61 años en adelante)</t>
        </r>
        <r>
          <rPr>
            <sz val="8"/>
            <color indexed="81"/>
            <rFont val="Tahoma"/>
            <family val="2"/>
          </rPr>
          <t xml:space="preserve">
</t>
        </r>
      </text>
    </comment>
    <comment ref="AS75" authorId="2" shapeId="0" xr:uid="{00000000-0006-0000-0000-000010010000}">
      <text>
        <r>
          <rPr>
            <b/>
            <sz val="8"/>
            <color indexed="81"/>
            <rFont val="Tahoma"/>
            <family val="2"/>
          </rPr>
          <t>MUJERES</t>
        </r>
        <r>
          <rPr>
            <sz val="8"/>
            <color indexed="81"/>
            <rFont val="Tahoma"/>
            <family val="2"/>
          </rPr>
          <t xml:space="preserve">
</t>
        </r>
      </text>
    </comment>
    <comment ref="AT75" authorId="2" shapeId="0" xr:uid="{00000000-0006-0000-0000-000011010000}">
      <text>
        <r>
          <rPr>
            <b/>
            <sz val="8"/>
            <color indexed="81"/>
            <rFont val="Tahoma"/>
            <family val="2"/>
          </rPr>
          <t>HOMBRES</t>
        </r>
      </text>
    </comment>
    <comment ref="AV75" authorId="2" shapeId="0" xr:uid="{00000000-0006-0000-0000-000012010000}">
      <text>
        <r>
          <rPr>
            <b/>
            <sz val="8"/>
            <color indexed="81"/>
            <rFont val="Tahoma"/>
            <family val="2"/>
          </rPr>
          <t>VÍCTIMAS CONFLICTO ARMADO</t>
        </r>
        <r>
          <rPr>
            <sz val="8"/>
            <color indexed="81"/>
            <rFont val="Tahoma"/>
            <family val="2"/>
          </rPr>
          <t xml:space="preserve">
</t>
        </r>
      </text>
    </comment>
    <comment ref="AX75" authorId="2" shapeId="0" xr:uid="{00000000-0006-0000-0000-000013010000}">
      <text>
        <r>
          <rPr>
            <b/>
            <sz val="8"/>
            <color indexed="81"/>
            <rFont val="Tahoma"/>
            <family val="2"/>
          </rPr>
          <t>DISCAPACITADOS</t>
        </r>
        <r>
          <rPr>
            <sz val="8"/>
            <color indexed="81"/>
            <rFont val="Tahoma"/>
            <family val="2"/>
          </rPr>
          <t xml:space="preserve">
</t>
        </r>
      </text>
    </comment>
    <comment ref="AY75" authorId="2" shapeId="0" xr:uid="{00000000-0006-0000-0000-000014010000}">
      <text>
        <r>
          <rPr>
            <b/>
            <sz val="8"/>
            <color indexed="81"/>
            <rFont val="Tahoma"/>
            <family val="2"/>
          </rPr>
          <t>AFROCOLOMBIANO O RAIZAL</t>
        </r>
      </text>
    </comment>
    <comment ref="AZ75" authorId="2" shapeId="0" xr:uid="{00000000-0006-0000-0000-000015010000}">
      <text>
        <r>
          <rPr>
            <b/>
            <sz val="8"/>
            <color indexed="81"/>
            <rFont val="Tahoma"/>
            <family val="2"/>
          </rPr>
          <t>INDÍGENAS</t>
        </r>
        <r>
          <rPr>
            <sz val="8"/>
            <color indexed="81"/>
            <rFont val="Tahoma"/>
            <family val="2"/>
          </rPr>
          <t xml:space="preserve">
</t>
        </r>
      </text>
    </comment>
    <comment ref="BA75" authorId="1" shapeId="0" xr:uid="{00000000-0006-0000-0000-000016010000}">
      <text>
        <r>
          <rPr>
            <b/>
            <sz val="9"/>
            <color indexed="81"/>
            <rFont val="Tahoma"/>
            <family val="2"/>
          </rPr>
          <t>MEDIO DE EVIDENCIA. INFORME, RESGISTRO FOTOGRAFICO, PLANILLA, ETC</t>
        </r>
      </text>
    </comment>
    <comment ref="R84" authorId="3" shapeId="0" xr:uid="{00000000-0006-0000-0000-000017010000}">
      <text>
        <r>
          <rPr>
            <b/>
            <sz val="9"/>
            <color indexed="81"/>
            <rFont val="Tahoma"/>
            <family val="2"/>
          </rPr>
          <t>COFINANCIACIÓN DEPARTAMENTO</t>
        </r>
        <r>
          <rPr>
            <sz val="9"/>
            <color indexed="81"/>
            <rFont val="Tahoma"/>
            <family val="2"/>
          </rPr>
          <t xml:space="preserve">
</t>
        </r>
      </text>
    </comment>
    <comment ref="S84" authorId="3" shapeId="0" xr:uid="{00000000-0006-0000-0000-000018010000}">
      <text>
        <r>
          <rPr>
            <b/>
            <sz val="9"/>
            <color indexed="81"/>
            <rFont val="Tahoma"/>
            <family val="2"/>
          </rPr>
          <t>COFINANCIACIÓN DEPARTAMENTO</t>
        </r>
        <r>
          <rPr>
            <sz val="9"/>
            <color indexed="81"/>
            <rFont val="Tahoma"/>
            <family val="2"/>
          </rPr>
          <t xml:space="preserve">
</t>
        </r>
      </text>
    </comment>
    <comment ref="T84" authorId="3" shapeId="0" xr:uid="{00000000-0006-0000-0000-000019010000}">
      <text>
        <r>
          <rPr>
            <b/>
            <sz val="9"/>
            <color indexed="81"/>
            <rFont val="Tahoma"/>
            <family val="2"/>
          </rPr>
          <t>COFINACIACIÓN NACIÓN</t>
        </r>
      </text>
    </comment>
    <comment ref="U84" authorId="3" shapeId="0" xr:uid="{00000000-0006-0000-0000-00001A010000}">
      <text>
        <r>
          <rPr>
            <b/>
            <sz val="9"/>
            <color indexed="81"/>
            <rFont val="Tahoma"/>
            <family val="2"/>
          </rPr>
          <t>COFINACIACIÓN NACIÓN</t>
        </r>
      </text>
    </comment>
    <comment ref="V84" authorId="3" shapeId="0" xr:uid="{00000000-0006-0000-0000-00001B010000}">
      <text>
        <r>
          <rPr>
            <b/>
            <sz val="9"/>
            <color indexed="81"/>
            <rFont val="Tahoma"/>
            <family val="2"/>
          </rPr>
          <t>CRÉDITO</t>
        </r>
      </text>
    </comment>
    <comment ref="W84" authorId="3" shapeId="0" xr:uid="{00000000-0006-0000-0000-00001C010000}">
      <text>
        <r>
          <rPr>
            <b/>
            <sz val="9"/>
            <color indexed="81"/>
            <rFont val="Tahoma"/>
            <family val="2"/>
          </rPr>
          <t>CRÉDITO</t>
        </r>
      </text>
    </comment>
    <comment ref="X84" authorId="3" shapeId="0" xr:uid="{00000000-0006-0000-0000-00001D010000}">
      <text>
        <r>
          <rPr>
            <b/>
            <sz val="9"/>
            <color indexed="81"/>
            <rFont val="Tahoma"/>
            <family val="2"/>
          </rPr>
          <t>OTROS</t>
        </r>
      </text>
    </comment>
    <comment ref="Y84" authorId="3" shapeId="0" xr:uid="{00000000-0006-0000-0000-00001E010000}">
      <text>
        <r>
          <rPr>
            <b/>
            <sz val="9"/>
            <color indexed="81"/>
            <rFont val="Tahoma"/>
            <family val="2"/>
          </rPr>
          <t>OTROS</t>
        </r>
      </text>
    </comment>
    <comment ref="Z84" authorId="3" shapeId="0" xr:uid="{00000000-0006-0000-0000-00001F010000}">
      <text>
        <r>
          <rPr>
            <b/>
            <sz val="9"/>
            <color indexed="81"/>
            <rFont val="Tahoma"/>
            <family val="2"/>
          </rPr>
          <t>RECURSOS PROPIOS</t>
        </r>
      </text>
    </comment>
    <comment ref="AA84" authorId="3" shapeId="0" xr:uid="{00000000-0006-0000-0000-000020010000}">
      <text>
        <r>
          <rPr>
            <b/>
            <sz val="9"/>
            <color indexed="81"/>
            <rFont val="Tahoma"/>
            <family val="2"/>
          </rPr>
          <t>RECURSOS PROPIOS</t>
        </r>
      </text>
    </comment>
    <comment ref="AB84" authorId="3" shapeId="0" xr:uid="{00000000-0006-0000-0000-000021010000}">
      <text>
        <r>
          <rPr>
            <b/>
            <sz val="9"/>
            <color indexed="81"/>
            <rFont val="Tahoma"/>
            <family val="2"/>
          </rPr>
          <t>SGP</t>
        </r>
      </text>
    </comment>
    <comment ref="AC84" authorId="3" shapeId="0" xr:uid="{00000000-0006-0000-0000-000022010000}">
      <text>
        <r>
          <rPr>
            <b/>
            <sz val="9"/>
            <color indexed="81"/>
            <rFont val="Tahoma"/>
            <family val="2"/>
          </rPr>
          <t>SGP</t>
        </r>
      </text>
    </comment>
    <comment ref="AD84" authorId="3" shapeId="0" xr:uid="{00000000-0006-0000-0000-000023010000}">
      <text>
        <r>
          <rPr>
            <b/>
            <sz val="9"/>
            <color indexed="81"/>
            <rFont val="Tahoma"/>
            <family val="2"/>
          </rPr>
          <t>REGALÍAS</t>
        </r>
      </text>
    </comment>
    <comment ref="AE84" authorId="3" shapeId="0" xr:uid="{00000000-0006-0000-0000-000024010000}">
      <text>
        <r>
          <rPr>
            <b/>
            <sz val="9"/>
            <color indexed="81"/>
            <rFont val="Tahoma"/>
            <family val="2"/>
          </rPr>
          <t>REGALÍAS</t>
        </r>
      </text>
    </comment>
    <comment ref="AF84" authorId="3" shapeId="0" xr:uid="{00000000-0006-0000-0000-000025010000}">
      <text>
        <r>
          <rPr>
            <b/>
            <sz val="9"/>
            <color indexed="81"/>
            <rFont val="Tahoma"/>
            <family val="2"/>
          </rPr>
          <t>RECURSOS FUNCIONAMIENTO</t>
        </r>
      </text>
    </comment>
    <comment ref="AG84" authorId="3" shapeId="0" xr:uid="{00000000-0006-0000-0000-000026010000}">
      <text>
        <r>
          <rPr>
            <b/>
            <sz val="9"/>
            <color indexed="81"/>
            <rFont val="Tahoma"/>
            <family val="2"/>
          </rPr>
          <t>RECURSOS FUNCIONAMIENTO</t>
        </r>
      </text>
    </comment>
    <comment ref="AH84" authorId="3" shapeId="0" xr:uid="{00000000-0006-0000-0000-000027010000}">
      <text>
        <r>
          <rPr>
            <b/>
            <sz val="9"/>
            <color indexed="81"/>
            <rFont val="Tahoma"/>
            <family val="2"/>
          </rPr>
          <t>RECURSOS GESTIONADOS</t>
        </r>
      </text>
    </comment>
    <comment ref="AI84" authorId="3" shapeId="0" xr:uid="{00000000-0006-0000-0000-000028010000}">
      <text>
        <r>
          <rPr>
            <b/>
            <sz val="9"/>
            <color indexed="81"/>
            <rFont val="Tahoma"/>
            <family val="2"/>
          </rPr>
          <t>RECURSOS GESTIONADOS</t>
        </r>
      </text>
    </comment>
    <comment ref="AJ84" authorId="3" shapeId="0" xr:uid="{00000000-0006-0000-0000-000029010000}">
      <text>
        <r>
          <rPr>
            <b/>
            <sz val="9"/>
            <color indexed="81"/>
            <rFont val="Tahoma"/>
            <family val="2"/>
          </rPr>
          <t>TOTALES</t>
        </r>
        <r>
          <rPr>
            <sz val="9"/>
            <color indexed="81"/>
            <rFont val="Tahoma"/>
            <family val="2"/>
          </rPr>
          <t xml:space="preserve">
</t>
        </r>
      </text>
    </comment>
    <comment ref="AK84" authorId="3" shapeId="0" xr:uid="{00000000-0006-0000-0000-00002A010000}">
      <text>
        <r>
          <rPr>
            <b/>
            <sz val="9"/>
            <color indexed="81"/>
            <rFont val="Tahoma"/>
            <family val="2"/>
          </rPr>
          <t>TOTALES</t>
        </r>
        <r>
          <rPr>
            <sz val="9"/>
            <color indexed="81"/>
            <rFont val="Tahoma"/>
            <family val="2"/>
          </rPr>
          <t xml:space="preserve">
</t>
        </r>
      </text>
    </comment>
    <comment ref="AL84" authorId="2" shapeId="0" xr:uid="{00000000-0006-0000-0000-00002B010000}">
      <text>
        <r>
          <rPr>
            <b/>
            <sz val="8"/>
            <color indexed="81"/>
            <rFont val="Tahoma"/>
            <family val="2"/>
          </rPr>
          <t>PRIMERA INFANCIA (0 a 5 años)</t>
        </r>
        <r>
          <rPr>
            <sz val="8"/>
            <color indexed="81"/>
            <rFont val="Tahoma"/>
            <family val="2"/>
          </rPr>
          <t xml:space="preserve">
</t>
        </r>
      </text>
    </comment>
    <comment ref="AM84" authorId="2" shapeId="0" xr:uid="{00000000-0006-0000-0000-00002C010000}">
      <text>
        <r>
          <rPr>
            <b/>
            <sz val="8"/>
            <color indexed="81"/>
            <rFont val="Tahoma"/>
            <family val="2"/>
          </rPr>
          <t>INFANCIA (6 a 11 años)</t>
        </r>
        <r>
          <rPr>
            <sz val="8"/>
            <color indexed="81"/>
            <rFont val="Tahoma"/>
            <family val="2"/>
          </rPr>
          <t xml:space="preserve">
</t>
        </r>
      </text>
    </comment>
    <comment ref="AN84" authorId="2" shapeId="0" xr:uid="{00000000-0006-0000-0000-00002D010000}">
      <text>
        <r>
          <rPr>
            <b/>
            <sz val="8"/>
            <color indexed="81"/>
            <rFont val="Tahoma"/>
            <family val="2"/>
          </rPr>
          <t>ADOLESCENCIA (12 A 17 años)</t>
        </r>
      </text>
    </comment>
    <comment ref="AO84" authorId="2" shapeId="0" xr:uid="{00000000-0006-0000-0000-00002E010000}">
      <text>
        <r>
          <rPr>
            <b/>
            <sz val="8"/>
            <color indexed="81"/>
            <rFont val="Tahoma"/>
            <family val="2"/>
          </rPr>
          <t>JUVENTUD (18 a 28 años)</t>
        </r>
        <r>
          <rPr>
            <sz val="8"/>
            <color indexed="81"/>
            <rFont val="Tahoma"/>
            <family val="2"/>
          </rPr>
          <t xml:space="preserve">
</t>
        </r>
      </text>
    </comment>
    <comment ref="AP84" authorId="2" shapeId="0" xr:uid="{00000000-0006-0000-0000-00002F010000}">
      <text>
        <r>
          <rPr>
            <b/>
            <sz val="8"/>
            <color indexed="81"/>
            <rFont val="Tahoma"/>
            <family val="2"/>
          </rPr>
          <t xml:space="preserve"> ADULTO (29 a 60 años)</t>
        </r>
        <r>
          <rPr>
            <sz val="8"/>
            <color indexed="81"/>
            <rFont val="Tahoma"/>
            <family val="2"/>
          </rPr>
          <t xml:space="preserve">
</t>
        </r>
      </text>
    </comment>
    <comment ref="AQ84" authorId="2" shapeId="0" xr:uid="{00000000-0006-0000-0000-000030010000}">
      <text>
        <r>
          <rPr>
            <b/>
            <sz val="8"/>
            <color indexed="81"/>
            <rFont val="Tahoma"/>
            <family val="2"/>
          </rPr>
          <t>ADULTO MAYOR  (61 años en adelante)</t>
        </r>
        <r>
          <rPr>
            <sz val="8"/>
            <color indexed="81"/>
            <rFont val="Tahoma"/>
            <family val="2"/>
          </rPr>
          <t xml:space="preserve">
</t>
        </r>
      </text>
    </comment>
    <comment ref="AS84" authorId="2" shapeId="0" xr:uid="{00000000-0006-0000-0000-000031010000}">
      <text>
        <r>
          <rPr>
            <b/>
            <sz val="8"/>
            <color indexed="81"/>
            <rFont val="Tahoma"/>
            <family val="2"/>
          </rPr>
          <t>MUJERES</t>
        </r>
        <r>
          <rPr>
            <sz val="8"/>
            <color indexed="81"/>
            <rFont val="Tahoma"/>
            <family val="2"/>
          </rPr>
          <t xml:space="preserve">
</t>
        </r>
      </text>
    </comment>
    <comment ref="AT84" authorId="2" shapeId="0" xr:uid="{00000000-0006-0000-0000-000032010000}">
      <text>
        <r>
          <rPr>
            <b/>
            <sz val="8"/>
            <color indexed="81"/>
            <rFont val="Tahoma"/>
            <family val="2"/>
          </rPr>
          <t>HOMBRES</t>
        </r>
      </text>
    </comment>
    <comment ref="AV84" authorId="2" shapeId="0" xr:uid="{00000000-0006-0000-0000-000033010000}">
      <text>
        <r>
          <rPr>
            <b/>
            <sz val="8"/>
            <color indexed="81"/>
            <rFont val="Tahoma"/>
            <family val="2"/>
          </rPr>
          <t>VÍCTIMAS CONFLICTO ARMADO</t>
        </r>
        <r>
          <rPr>
            <sz val="8"/>
            <color indexed="81"/>
            <rFont val="Tahoma"/>
            <family val="2"/>
          </rPr>
          <t xml:space="preserve">
</t>
        </r>
      </text>
    </comment>
    <comment ref="AX84" authorId="2" shapeId="0" xr:uid="{00000000-0006-0000-0000-000034010000}">
      <text>
        <r>
          <rPr>
            <b/>
            <sz val="8"/>
            <color indexed="81"/>
            <rFont val="Tahoma"/>
            <family val="2"/>
          </rPr>
          <t>DISCAPACITADOS</t>
        </r>
        <r>
          <rPr>
            <sz val="8"/>
            <color indexed="81"/>
            <rFont val="Tahoma"/>
            <family val="2"/>
          </rPr>
          <t xml:space="preserve">
</t>
        </r>
      </text>
    </comment>
    <comment ref="AY84" authorId="2" shapeId="0" xr:uid="{00000000-0006-0000-0000-000035010000}">
      <text>
        <r>
          <rPr>
            <b/>
            <sz val="8"/>
            <color indexed="81"/>
            <rFont val="Tahoma"/>
            <family val="2"/>
          </rPr>
          <t>AFROCOLOMBIANO O RAIZAL</t>
        </r>
      </text>
    </comment>
    <comment ref="AZ84" authorId="2" shapeId="0" xr:uid="{00000000-0006-0000-0000-000036010000}">
      <text>
        <r>
          <rPr>
            <b/>
            <sz val="8"/>
            <color indexed="81"/>
            <rFont val="Tahoma"/>
            <family val="2"/>
          </rPr>
          <t>INDÍGENAS</t>
        </r>
        <r>
          <rPr>
            <sz val="8"/>
            <color indexed="81"/>
            <rFont val="Tahoma"/>
            <family val="2"/>
          </rPr>
          <t xml:space="preserve">
</t>
        </r>
      </text>
    </comment>
    <comment ref="BA84" authorId="1" shapeId="0" xr:uid="{00000000-0006-0000-0000-000037010000}">
      <text>
        <r>
          <rPr>
            <b/>
            <sz val="9"/>
            <color indexed="81"/>
            <rFont val="Tahoma"/>
            <family val="2"/>
          </rPr>
          <t>MEDIO DE EVIDENCIA. INFORME, RESGISTRO FOTOGRAFICO, PLANILLA, ETC</t>
        </r>
      </text>
    </comment>
    <comment ref="R93" authorId="3" shapeId="0" xr:uid="{00000000-0006-0000-0000-000038010000}">
      <text>
        <r>
          <rPr>
            <b/>
            <sz val="9"/>
            <color indexed="81"/>
            <rFont val="Tahoma"/>
            <family val="2"/>
          </rPr>
          <t>COFINANCIACIÓN DEPARTAMENTO</t>
        </r>
        <r>
          <rPr>
            <sz val="9"/>
            <color indexed="81"/>
            <rFont val="Tahoma"/>
            <family val="2"/>
          </rPr>
          <t xml:space="preserve">
</t>
        </r>
      </text>
    </comment>
    <comment ref="S93" authorId="3" shapeId="0" xr:uid="{00000000-0006-0000-0000-000039010000}">
      <text>
        <r>
          <rPr>
            <b/>
            <sz val="9"/>
            <color indexed="81"/>
            <rFont val="Tahoma"/>
            <family val="2"/>
          </rPr>
          <t>COFINANCIACIÓN DEPARTAMENTO</t>
        </r>
        <r>
          <rPr>
            <sz val="9"/>
            <color indexed="81"/>
            <rFont val="Tahoma"/>
            <family val="2"/>
          </rPr>
          <t xml:space="preserve">
</t>
        </r>
      </text>
    </comment>
    <comment ref="T93" authorId="3" shapeId="0" xr:uid="{00000000-0006-0000-0000-00003A010000}">
      <text>
        <r>
          <rPr>
            <b/>
            <sz val="9"/>
            <color indexed="81"/>
            <rFont val="Tahoma"/>
            <family val="2"/>
          </rPr>
          <t>COFINACIACIÓN NACIÓN</t>
        </r>
      </text>
    </comment>
    <comment ref="U93" authorId="3" shapeId="0" xr:uid="{00000000-0006-0000-0000-00003B010000}">
      <text>
        <r>
          <rPr>
            <b/>
            <sz val="9"/>
            <color indexed="81"/>
            <rFont val="Tahoma"/>
            <family val="2"/>
          </rPr>
          <t>COFINACIACIÓN NACIÓN</t>
        </r>
      </text>
    </comment>
    <comment ref="V93" authorId="3" shapeId="0" xr:uid="{00000000-0006-0000-0000-00003C010000}">
      <text>
        <r>
          <rPr>
            <b/>
            <sz val="9"/>
            <color indexed="81"/>
            <rFont val="Tahoma"/>
            <family val="2"/>
          </rPr>
          <t>CRÉDITO</t>
        </r>
      </text>
    </comment>
    <comment ref="W93" authorId="3" shapeId="0" xr:uid="{00000000-0006-0000-0000-00003D010000}">
      <text>
        <r>
          <rPr>
            <b/>
            <sz val="9"/>
            <color indexed="81"/>
            <rFont val="Tahoma"/>
            <family val="2"/>
          </rPr>
          <t>CRÉDITO</t>
        </r>
      </text>
    </comment>
    <comment ref="X93" authorId="3" shapeId="0" xr:uid="{00000000-0006-0000-0000-00003E010000}">
      <text>
        <r>
          <rPr>
            <b/>
            <sz val="9"/>
            <color indexed="81"/>
            <rFont val="Tahoma"/>
            <family val="2"/>
          </rPr>
          <t>OTROS</t>
        </r>
      </text>
    </comment>
    <comment ref="Y93" authorId="3" shapeId="0" xr:uid="{00000000-0006-0000-0000-00003F010000}">
      <text>
        <r>
          <rPr>
            <b/>
            <sz val="9"/>
            <color indexed="81"/>
            <rFont val="Tahoma"/>
            <family val="2"/>
          </rPr>
          <t>OTROS</t>
        </r>
      </text>
    </comment>
    <comment ref="Z93" authorId="3" shapeId="0" xr:uid="{00000000-0006-0000-0000-000040010000}">
      <text>
        <r>
          <rPr>
            <b/>
            <sz val="9"/>
            <color indexed="81"/>
            <rFont val="Tahoma"/>
            <family val="2"/>
          </rPr>
          <t>RECURSOS PROPIOS</t>
        </r>
      </text>
    </comment>
    <comment ref="AA93" authorId="3" shapeId="0" xr:uid="{00000000-0006-0000-0000-000041010000}">
      <text>
        <r>
          <rPr>
            <b/>
            <sz val="9"/>
            <color indexed="81"/>
            <rFont val="Tahoma"/>
            <family val="2"/>
          </rPr>
          <t>RECURSOS PROPIOS</t>
        </r>
      </text>
    </comment>
    <comment ref="AB93" authorId="3" shapeId="0" xr:uid="{00000000-0006-0000-0000-000042010000}">
      <text>
        <r>
          <rPr>
            <b/>
            <sz val="9"/>
            <color indexed="81"/>
            <rFont val="Tahoma"/>
            <family val="2"/>
          </rPr>
          <t>SGP</t>
        </r>
      </text>
    </comment>
    <comment ref="AC93" authorId="3" shapeId="0" xr:uid="{00000000-0006-0000-0000-000043010000}">
      <text>
        <r>
          <rPr>
            <b/>
            <sz val="9"/>
            <color indexed="81"/>
            <rFont val="Tahoma"/>
            <family val="2"/>
          </rPr>
          <t>SGP</t>
        </r>
      </text>
    </comment>
    <comment ref="AD93" authorId="3" shapeId="0" xr:uid="{00000000-0006-0000-0000-000044010000}">
      <text>
        <r>
          <rPr>
            <b/>
            <sz val="9"/>
            <color indexed="81"/>
            <rFont val="Tahoma"/>
            <family val="2"/>
          </rPr>
          <t>REGALÍAS</t>
        </r>
      </text>
    </comment>
    <comment ref="AE93" authorId="3" shapeId="0" xr:uid="{00000000-0006-0000-0000-000045010000}">
      <text>
        <r>
          <rPr>
            <b/>
            <sz val="9"/>
            <color indexed="81"/>
            <rFont val="Tahoma"/>
            <family val="2"/>
          </rPr>
          <t>REGALÍAS</t>
        </r>
      </text>
    </comment>
    <comment ref="AF93" authorId="3" shapeId="0" xr:uid="{00000000-0006-0000-0000-000046010000}">
      <text>
        <r>
          <rPr>
            <b/>
            <sz val="9"/>
            <color indexed="81"/>
            <rFont val="Tahoma"/>
            <family val="2"/>
          </rPr>
          <t>RECURSOS FUNCIONAMIENTO</t>
        </r>
      </text>
    </comment>
    <comment ref="AG93" authorId="3" shapeId="0" xr:uid="{00000000-0006-0000-0000-000047010000}">
      <text>
        <r>
          <rPr>
            <b/>
            <sz val="9"/>
            <color indexed="81"/>
            <rFont val="Tahoma"/>
            <family val="2"/>
          </rPr>
          <t>RECURSOS FUNCIONAMIENTO</t>
        </r>
      </text>
    </comment>
    <comment ref="AH93" authorId="3" shapeId="0" xr:uid="{00000000-0006-0000-0000-000048010000}">
      <text>
        <r>
          <rPr>
            <b/>
            <sz val="9"/>
            <color indexed="81"/>
            <rFont val="Tahoma"/>
            <family val="2"/>
          </rPr>
          <t>RECURSOS GESTIONADOS</t>
        </r>
      </text>
    </comment>
    <comment ref="AI93" authorId="3" shapeId="0" xr:uid="{00000000-0006-0000-0000-000049010000}">
      <text>
        <r>
          <rPr>
            <b/>
            <sz val="9"/>
            <color indexed="81"/>
            <rFont val="Tahoma"/>
            <family val="2"/>
          </rPr>
          <t>RECURSOS GESTIONADOS</t>
        </r>
      </text>
    </comment>
    <comment ref="AJ93" authorId="3" shapeId="0" xr:uid="{00000000-0006-0000-0000-00004A010000}">
      <text>
        <r>
          <rPr>
            <b/>
            <sz val="9"/>
            <color indexed="81"/>
            <rFont val="Tahoma"/>
            <family val="2"/>
          </rPr>
          <t>TOTALES</t>
        </r>
        <r>
          <rPr>
            <sz val="9"/>
            <color indexed="81"/>
            <rFont val="Tahoma"/>
            <family val="2"/>
          </rPr>
          <t xml:space="preserve">
</t>
        </r>
      </text>
    </comment>
    <comment ref="AK93" authorId="3" shapeId="0" xr:uid="{00000000-0006-0000-0000-00004B010000}">
      <text>
        <r>
          <rPr>
            <b/>
            <sz val="9"/>
            <color indexed="81"/>
            <rFont val="Tahoma"/>
            <family val="2"/>
          </rPr>
          <t>TOTALES</t>
        </r>
        <r>
          <rPr>
            <sz val="9"/>
            <color indexed="81"/>
            <rFont val="Tahoma"/>
            <family val="2"/>
          </rPr>
          <t xml:space="preserve">
</t>
        </r>
      </text>
    </comment>
    <comment ref="AL93" authorId="2" shapeId="0" xr:uid="{00000000-0006-0000-0000-00004C010000}">
      <text>
        <r>
          <rPr>
            <b/>
            <sz val="8"/>
            <color indexed="81"/>
            <rFont val="Tahoma"/>
            <family val="2"/>
          </rPr>
          <t>PRIMERA INFANCIA (0 a 5 años)</t>
        </r>
        <r>
          <rPr>
            <sz val="8"/>
            <color indexed="81"/>
            <rFont val="Tahoma"/>
            <family val="2"/>
          </rPr>
          <t xml:space="preserve">
</t>
        </r>
      </text>
    </comment>
    <comment ref="AM93" authorId="2" shapeId="0" xr:uid="{00000000-0006-0000-0000-00004D010000}">
      <text>
        <r>
          <rPr>
            <b/>
            <sz val="8"/>
            <color indexed="81"/>
            <rFont val="Tahoma"/>
            <family val="2"/>
          </rPr>
          <t>INFANCIA (6 a 11 años)</t>
        </r>
        <r>
          <rPr>
            <sz val="8"/>
            <color indexed="81"/>
            <rFont val="Tahoma"/>
            <family val="2"/>
          </rPr>
          <t xml:space="preserve">
</t>
        </r>
      </text>
    </comment>
    <comment ref="AN93" authorId="2" shapeId="0" xr:uid="{00000000-0006-0000-0000-00004E010000}">
      <text>
        <r>
          <rPr>
            <b/>
            <sz val="8"/>
            <color indexed="81"/>
            <rFont val="Tahoma"/>
            <family val="2"/>
          </rPr>
          <t>ADOLESCENCIA (12 A 17 años)</t>
        </r>
      </text>
    </comment>
    <comment ref="AO93" authorId="2" shapeId="0" xr:uid="{00000000-0006-0000-0000-00004F010000}">
      <text>
        <r>
          <rPr>
            <b/>
            <sz val="8"/>
            <color indexed="81"/>
            <rFont val="Tahoma"/>
            <family val="2"/>
          </rPr>
          <t>JUVENTUD (18 a 28 años)</t>
        </r>
        <r>
          <rPr>
            <sz val="8"/>
            <color indexed="81"/>
            <rFont val="Tahoma"/>
            <family val="2"/>
          </rPr>
          <t xml:space="preserve">
</t>
        </r>
      </text>
    </comment>
    <comment ref="AP93" authorId="2" shapeId="0" xr:uid="{00000000-0006-0000-0000-000050010000}">
      <text>
        <r>
          <rPr>
            <b/>
            <sz val="8"/>
            <color indexed="81"/>
            <rFont val="Tahoma"/>
            <family val="2"/>
          </rPr>
          <t xml:space="preserve"> ADULTO (29 a 60 años)</t>
        </r>
        <r>
          <rPr>
            <sz val="8"/>
            <color indexed="81"/>
            <rFont val="Tahoma"/>
            <family val="2"/>
          </rPr>
          <t xml:space="preserve">
</t>
        </r>
      </text>
    </comment>
    <comment ref="AQ93" authorId="2" shapeId="0" xr:uid="{00000000-0006-0000-0000-000051010000}">
      <text>
        <r>
          <rPr>
            <b/>
            <sz val="8"/>
            <color indexed="81"/>
            <rFont val="Tahoma"/>
            <family val="2"/>
          </rPr>
          <t>ADULTO MAYOR  (61 años en adelante)</t>
        </r>
        <r>
          <rPr>
            <sz val="8"/>
            <color indexed="81"/>
            <rFont val="Tahoma"/>
            <family val="2"/>
          </rPr>
          <t xml:space="preserve">
</t>
        </r>
      </text>
    </comment>
    <comment ref="AS93" authorId="2" shapeId="0" xr:uid="{00000000-0006-0000-0000-000052010000}">
      <text>
        <r>
          <rPr>
            <b/>
            <sz val="8"/>
            <color indexed="81"/>
            <rFont val="Tahoma"/>
            <family val="2"/>
          </rPr>
          <t>MUJERES</t>
        </r>
        <r>
          <rPr>
            <sz val="8"/>
            <color indexed="81"/>
            <rFont val="Tahoma"/>
            <family val="2"/>
          </rPr>
          <t xml:space="preserve">
</t>
        </r>
      </text>
    </comment>
    <comment ref="AT93" authorId="2" shapeId="0" xr:uid="{00000000-0006-0000-0000-000053010000}">
      <text>
        <r>
          <rPr>
            <b/>
            <sz val="8"/>
            <color indexed="81"/>
            <rFont val="Tahoma"/>
            <family val="2"/>
          </rPr>
          <t>HOMBRES</t>
        </r>
      </text>
    </comment>
    <comment ref="AV93" authorId="2" shapeId="0" xr:uid="{00000000-0006-0000-0000-000054010000}">
      <text>
        <r>
          <rPr>
            <b/>
            <sz val="8"/>
            <color indexed="81"/>
            <rFont val="Tahoma"/>
            <family val="2"/>
          </rPr>
          <t>VÍCTIMAS CONFLICTO ARMADO</t>
        </r>
        <r>
          <rPr>
            <sz val="8"/>
            <color indexed="81"/>
            <rFont val="Tahoma"/>
            <family val="2"/>
          </rPr>
          <t xml:space="preserve">
</t>
        </r>
      </text>
    </comment>
    <comment ref="AX93" authorId="2" shapeId="0" xr:uid="{00000000-0006-0000-0000-000055010000}">
      <text>
        <r>
          <rPr>
            <b/>
            <sz val="8"/>
            <color indexed="81"/>
            <rFont val="Tahoma"/>
            <family val="2"/>
          </rPr>
          <t>DISCAPACITADOS</t>
        </r>
        <r>
          <rPr>
            <sz val="8"/>
            <color indexed="81"/>
            <rFont val="Tahoma"/>
            <family val="2"/>
          </rPr>
          <t xml:space="preserve">
</t>
        </r>
      </text>
    </comment>
    <comment ref="AY93" authorId="2" shapeId="0" xr:uid="{00000000-0006-0000-0000-000056010000}">
      <text>
        <r>
          <rPr>
            <b/>
            <sz val="8"/>
            <color indexed="81"/>
            <rFont val="Tahoma"/>
            <family val="2"/>
          </rPr>
          <t>AFROCOLOMBIANO O RAIZAL</t>
        </r>
      </text>
    </comment>
    <comment ref="AZ93" authorId="2" shapeId="0" xr:uid="{00000000-0006-0000-0000-000057010000}">
      <text>
        <r>
          <rPr>
            <b/>
            <sz val="8"/>
            <color indexed="81"/>
            <rFont val="Tahoma"/>
            <family val="2"/>
          </rPr>
          <t>INDÍGENAS</t>
        </r>
        <r>
          <rPr>
            <sz val="8"/>
            <color indexed="81"/>
            <rFont val="Tahoma"/>
            <family val="2"/>
          </rPr>
          <t xml:space="preserve">
</t>
        </r>
      </text>
    </comment>
    <comment ref="BA93" authorId="1" shapeId="0" xr:uid="{00000000-0006-0000-0000-000058010000}">
      <text>
        <r>
          <rPr>
            <b/>
            <sz val="9"/>
            <color indexed="81"/>
            <rFont val="Tahoma"/>
            <family val="2"/>
          </rPr>
          <t>MEDIO DE EVIDENCIA. INFORME, RESGISTRO FOTOGRAFICO, PLANILLA, ETC</t>
        </r>
      </text>
    </comment>
    <comment ref="R102" authorId="3" shapeId="0" xr:uid="{00000000-0006-0000-0000-000059010000}">
      <text>
        <r>
          <rPr>
            <b/>
            <sz val="9"/>
            <color indexed="81"/>
            <rFont val="Tahoma"/>
            <family val="2"/>
          </rPr>
          <t>COFINANCIACIÓN DEPARTAMENTO</t>
        </r>
        <r>
          <rPr>
            <sz val="9"/>
            <color indexed="81"/>
            <rFont val="Tahoma"/>
            <family val="2"/>
          </rPr>
          <t xml:space="preserve">
</t>
        </r>
      </text>
    </comment>
    <comment ref="S102" authorId="3" shapeId="0" xr:uid="{00000000-0006-0000-0000-00005A010000}">
      <text>
        <r>
          <rPr>
            <b/>
            <sz val="9"/>
            <color indexed="81"/>
            <rFont val="Tahoma"/>
            <family val="2"/>
          </rPr>
          <t>COFINANCIACIÓN DEPARTAMENTO</t>
        </r>
        <r>
          <rPr>
            <sz val="9"/>
            <color indexed="81"/>
            <rFont val="Tahoma"/>
            <family val="2"/>
          </rPr>
          <t xml:space="preserve">
</t>
        </r>
      </text>
    </comment>
    <comment ref="T102" authorId="3" shapeId="0" xr:uid="{00000000-0006-0000-0000-00005B010000}">
      <text>
        <r>
          <rPr>
            <b/>
            <sz val="9"/>
            <color indexed="81"/>
            <rFont val="Tahoma"/>
            <family val="2"/>
          </rPr>
          <t>COFINACIACIÓN NACIÓN</t>
        </r>
      </text>
    </comment>
    <comment ref="U102" authorId="3" shapeId="0" xr:uid="{00000000-0006-0000-0000-00005C010000}">
      <text>
        <r>
          <rPr>
            <b/>
            <sz val="9"/>
            <color indexed="81"/>
            <rFont val="Tahoma"/>
            <family val="2"/>
          </rPr>
          <t>COFINACIACIÓN NACIÓN</t>
        </r>
      </text>
    </comment>
    <comment ref="V102" authorId="3" shapeId="0" xr:uid="{00000000-0006-0000-0000-00005D010000}">
      <text>
        <r>
          <rPr>
            <b/>
            <sz val="9"/>
            <color indexed="81"/>
            <rFont val="Tahoma"/>
            <family val="2"/>
          </rPr>
          <t>CRÉDITO</t>
        </r>
      </text>
    </comment>
    <comment ref="W102" authorId="3" shapeId="0" xr:uid="{00000000-0006-0000-0000-00005E010000}">
      <text>
        <r>
          <rPr>
            <b/>
            <sz val="9"/>
            <color indexed="81"/>
            <rFont val="Tahoma"/>
            <family val="2"/>
          </rPr>
          <t>CRÉDITO</t>
        </r>
      </text>
    </comment>
    <comment ref="X102" authorId="3" shapeId="0" xr:uid="{00000000-0006-0000-0000-00005F010000}">
      <text>
        <r>
          <rPr>
            <b/>
            <sz val="9"/>
            <color indexed="81"/>
            <rFont val="Tahoma"/>
            <family val="2"/>
          </rPr>
          <t>OTROS</t>
        </r>
      </text>
    </comment>
    <comment ref="Y102" authorId="3" shapeId="0" xr:uid="{00000000-0006-0000-0000-000060010000}">
      <text>
        <r>
          <rPr>
            <b/>
            <sz val="9"/>
            <color indexed="81"/>
            <rFont val="Tahoma"/>
            <family val="2"/>
          </rPr>
          <t>OTROS</t>
        </r>
      </text>
    </comment>
    <comment ref="Z102" authorId="3" shapeId="0" xr:uid="{00000000-0006-0000-0000-000061010000}">
      <text>
        <r>
          <rPr>
            <b/>
            <sz val="9"/>
            <color indexed="81"/>
            <rFont val="Tahoma"/>
            <family val="2"/>
          </rPr>
          <t>RECURSOS PROPIOS</t>
        </r>
      </text>
    </comment>
    <comment ref="AA102" authorId="3" shapeId="0" xr:uid="{00000000-0006-0000-0000-000062010000}">
      <text>
        <r>
          <rPr>
            <b/>
            <sz val="9"/>
            <color indexed="81"/>
            <rFont val="Tahoma"/>
            <family val="2"/>
          </rPr>
          <t>RECURSOS PROPIOS</t>
        </r>
      </text>
    </comment>
    <comment ref="AB102" authorId="3" shapeId="0" xr:uid="{00000000-0006-0000-0000-000063010000}">
      <text>
        <r>
          <rPr>
            <b/>
            <sz val="9"/>
            <color indexed="81"/>
            <rFont val="Tahoma"/>
            <family val="2"/>
          </rPr>
          <t>SGP</t>
        </r>
      </text>
    </comment>
    <comment ref="AC102" authorId="3" shapeId="0" xr:uid="{00000000-0006-0000-0000-000064010000}">
      <text>
        <r>
          <rPr>
            <b/>
            <sz val="9"/>
            <color indexed="81"/>
            <rFont val="Tahoma"/>
            <family val="2"/>
          </rPr>
          <t>SGP</t>
        </r>
      </text>
    </comment>
    <comment ref="AD102" authorId="3" shapeId="0" xr:uid="{00000000-0006-0000-0000-000065010000}">
      <text>
        <r>
          <rPr>
            <b/>
            <sz val="9"/>
            <color indexed="81"/>
            <rFont val="Tahoma"/>
            <family val="2"/>
          </rPr>
          <t>REGALÍAS</t>
        </r>
      </text>
    </comment>
    <comment ref="AE102" authorId="3" shapeId="0" xr:uid="{00000000-0006-0000-0000-000066010000}">
      <text>
        <r>
          <rPr>
            <b/>
            <sz val="9"/>
            <color indexed="81"/>
            <rFont val="Tahoma"/>
            <family val="2"/>
          </rPr>
          <t>REGALÍAS</t>
        </r>
      </text>
    </comment>
    <comment ref="AF102" authorId="3" shapeId="0" xr:uid="{00000000-0006-0000-0000-000067010000}">
      <text>
        <r>
          <rPr>
            <b/>
            <sz val="9"/>
            <color indexed="81"/>
            <rFont val="Tahoma"/>
            <family val="2"/>
          </rPr>
          <t>RECURSOS FUNCIONAMIENTO</t>
        </r>
      </text>
    </comment>
    <comment ref="AG102" authorId="3" shapeId="0" xr:uid="{00000000-0006-0000-0000-000068010000}">
      <text>
        <r>
          <rPr>
            <b/>
            <sz val="9"/>
            <color indexed="81"/>
            <rFont val="Tahoma"/>
            <family val="2"/>
          </rPr>
          <t>RECURSOS FUNCIONAMIENTO</t>
        </r>
      </text>
    </comment>
    <comment ref="AH102" authorId="3" shapeId="0" xr:uid="{00000000-0006-0000-0000-000069010000}">
      <text>
        <r>
          <rPr>
            <b/>
            <sz val="9"/>
            <color indexed="81"/>
            <rFont val="Tahoma"/>
            <family val="2"/>
          </rPr>
          <t>RECURSOS GESTIONADOS</t>
        </r>
      </text>
    </comment>
    <comment ref="AI102" authorId="3" shapeId="0" xr:uid="{00000000-0006-0000-0000-00006A010000}">
      <text>
        <r>
          <rPr>
            <b/>
            <sz val="9"/>
            <color indexed="81"/>
            <rFont val="Tahoma"/>
            <family val="2"/>
          </rPr>
          <t>RECURSOS GESTIONADOS</t>
        </r>
      </text>
    </comment>
    <comment ref="AJ102" authorId="3" shapeId="0" xr:uid="{00000000-0006-0000-0000-00006B010000}">
      <text>
        <r>
          <rPr>
            <b/>
            <sz val="9"/>
            <color indexed="81"/>
            <rFont val="Tahoma"/>
            <family val="2"/>
          </rPr>
          <t>TOTALES</t>
        </r>
        <r>
          <rPr>
            <sz val="9"/>
            <color indexed="81"/>
            <rFont val="Tahoma"/>
            <family val="2"/>
          </rPr>
          <t xml:space="preserve">
</t>
        </r>
      </text>
    </comment>
    <comment ref="AK102" authorId="3" shapeId="0" xr:uid="{00000000-0006-0000-0000-00006C010000}">
      <text>
        <r>
          <rPr>
            <b/>
            <sz val="9"/>
            <color indexed="81"/>
            <rFont val="Tahoma"/>
            <family val="2"/>
          </rPr>
          <t>TOTALES</t>
        </r>
        <r>
          <rPr>
            <sz val="9"/>
            <color indexed="81"/>
            <rFont val="Tahoma"/>
            <family val="2"/>
          </rPr>
          <t xml:space="preserve">
</t>
        </r>
      </text>
    </comment>
    <comment ref="AL102" authorId="2" shapeId="0" xr:uid="{00000000-0006-0000-0000-00006D010000}">
      <text>
        <r>
          <rPr>
            <b/>
            <sz val="8"/>
            <color indexed="81"/>
            <rFont val="Tahoma"/>
            <family val="2"/>
          </rPr>
          <t>PRIMERA INFANCIA (0 a 5 años)</t>
        </r>
        <r>
          <rPr>
            <sz val="8"/>
            <color indexed="81"/>
            <rFont val="Tahoma"/>
            <family val="2"/>
          </rPr>
          <t xml:space="preserve">
</t>
        </r>
      </text>
    </comment>
    <comment ref="AM102" authorId="2" shapeId="0" xr:uid="{00000000-0006-0000-0000-00006E010000}">
      <text>
        <r>
          <rPr>
            <b/>
            <sz val="8"/>
            <color indexed="81"/>
            <rFont val="Tahoma"/>
            <family val="2"/>
          </rPr>
          <t>INFANCIA (6 a 11 años)</t>
        </r>
        <r>
          <rPr>
            <sz val="8"/>
            <color indexed="81"/>
            <rFont val="Tahoma"/>
            <family val="2"/>
          </rPr>
          <t xml:space="preserve">
</t>
        </r>
      </text>
    </comment>
    <comment ref="AN102" authorId="2" shapeId="0" xr:uid="{00000000-0006-0000-0000-00006F010000}">
      <text>
        <r>
          <rPr>
            <b/>
            <sz val="8"/>
            <color indexed="81"/>
            <rFont val="Tahoma"/>
            <family val="2"/>
          </rPr>
          <t>ADOLESCENCIA (12 A 17 años)</t>
        </r>
      </text>
    </comment>
    <comment ref="AO102" authorId="2" shapeId="0" xr:uid="{00000000-0006-0000-0000-000070010000}">
      <text>
        <r>
          <rPr>
            <b/>
            <sz val="8"/>
            <color indexed="81"/>
            <rFont val="Tahoma"/>
            <family val="2"/>
          </rPr>
          <t>JUVENTUD (18 a 28 años)</t>
        </r>
        <r>
          <rPr>
            <sz val="8"/>
            <color indexed="81"/>
            <rFont val="Tahoma"/>
            <family val="2"/>
          </rPr>
          <t xml:space="preserve">
</t>
        </r>
      </text>
    </comment>
    <comment ref="AP102" authorId="2" shapeId="0" xr:uid="{00000000-0006-0000-0000-00007101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72010000}">
      <text>
        <r>
          <rPr>
            <b/>
            <sz val="8"/>
            <color indexed="81"/>
            <rFont val="Tahoma"/>
            <family val="2"/>
          </rPr>
          <t>ADULTO MAYOR  (61 años en adelante)</t>
        </r>
        <r>
          <rPr>
            <sz val="8"/>
            <color indexed="81"/>
            <rFont val="Tahoma"/>
            <family val="2"/>
          </rPr>
          <t xml:space="preserve">
</t>
        </r>
      </text>
    </comment>
    <comment ref="AS102" authorId="2" shapeId="0" xr:uid="{00000000-0006-0000-0000-000073010000}">
      <text>
        <r>
          <rPr>
            <b/>
            <sz val="8"/>
            <color indexed="81"/>
            <rFont val="Tahoma"/>
            <family val="2"/>
          </rPr>
          <t>MUJERES</t>
        </r>
        <r>
          <rPr>
            <sz val="8"/>
            <color indexed="81"/>
            <rFont val="Tahoma"/>
            <family val="2"/>
          </rPr>
          <t xml:space="preserve">
</t>
        </r>
      </text>
    </comment>
    <comment ref="AT102" authorId="2" shapeId="0" xr:uid="{00000000-0006-0000-0000-000074010000}">
      <text>
        <r>
          <rPr>
            <b/>
            <sz val="8"/>
            <color indexed="81"/>
            <rFont val="Tahoma"/>
            <family val="2"/>
          </rPr>
          <t>HOMBRES</t>
        </r>
      </text>
    </comment>
    <comment ref="AV102" authorId="2" shapeId="0" xr:uid="{00000000-0006-0000-0000-000075010000}">
      <text>
        <r>
          <rPr>
            <b/>
            <sz val="8"/>
            <color indexed="81"/>
            <rFont val="Tahoma"/>
            <family val="2"/>
          </rPr>
          <t>VÍCTIMAS CONFLICTO ARMADO</t>
        </r>
        <r>
          <rPr>
            <sz val="8"/>
            <color indexed="81"/>
            <rFont val="Tahoma"/>
            <family val="2"/>
          </rPr>
          <t xml:space="preserve">
</t>
        </r>
      </text>
    </comment>
    <comment ref="AX102" authorId="2" shapeId="0" xr:uid="{00000000-0006-0000-0000-000076010000}">
      <text>
        <r>
          <rPr>
            <b/>
            <sz val="8"/>
            <color indexed="81"/>
            <rFont val="Tahoma"/>
            <family val="2"/>
          </rPr>
          <t>DISCAPACITADOS</t>
        </r>
        <r>
          <rPr>
            <sz val="8"/>
            <color indexed="81"/>
            <rFont val="Tahoma"/>
            <family val="2"/>
          </rPr>
          <t xml:space="preserve">
</t>
        </r>
      </text>
    </comment>
    <comment ref="AY102" authorId="2" shapeId="0" xr:uid="{00000000-0006-0000-0000-000077010000}">
      <text>
        <r>
          <rPr>
            <b/>
            <sz val="8"/>
            <color indexed="81"/>
            <rFont val="Tahoma"/>
            <family val="2"/>
          </rPr>
          <t>AFROCOLOMBIANO O RAIZAL</t>
        </r>
      </text>
    </comment>
    <comment ref="AZ102" authorId="2" shapeId="0" xr:uid="{00000000-0006-0000-0000-000078010000}">
      <text>
        <r>
          <rPr>
            <b/>
            <sz val="8"/>
            <color indexed="81"/>
            <rFont val="Tahoma"/>
            <family val="2"/>
          </rPr>
          <t>INDÍGENAS</t>
        </r>
        <r>
          <rPr>
            <sz val="8"/>
            <color indexed="81"/>
            <rFont val="Tahoma"/>
            <family val="2"/>
          </rPr>
          <t xml:space="preserve">
</t>
        </r>
      </text>
    </comment>
    <comment ref="BA102" authorId="1" shapeId="0" xr:uid="{00000000-0006-0000-0000-000079010000}">
      <text>
        <r>
          <rPr>
            <b/>
            <sz val="9"/>
            <color indexed="81"/>
            <rFont val="Tahoma"/>
            <family val="2"/>
          </rPr>
          <t>MEDIO DE EVIDENCIA. INFORME, RESGISTRO FOTOGRAFICO, PLANILLA, ETC</t>
        </r>
      </text>
    </comment>
    <comment ref="R111" authorId="3" shapeId="0" xr:uid="{00000000-0006-0000-0000-00007A010000}">
      <text>
        <r>
          <rPr>
            <b/>
            <sz val="9"/>
            <color indexed="81"/>
            <rFont val="Tahoma"/>
            <family val="2"/>
          </rPr>
          <t>COFINANCIACIÓN DEPARTAMENTO</t>
        </r>
        <r>
          <rPr>
            <sz val="9"/>
            <color indexed="81"/>
            <rFont val="Tahoma"/>
            <family val="2"/>
          </rPr>
          <t xml:space="preserve">
</t>
        </r>
      </text>
    </comment>
    <comment ref="S111" authorId="3" shapeId="0" xr:uid="{00000000-0006-0000-0000-00007B010000}">
      <text>
        <r>
          <rPr>
            <b/>
            <sz val="9"/>
            <color indexed="81"/>
            <rFont val="Tahoma"/>
            <family val="2"/>
          </rPr>
          <t>COFINANCIACIÓN DEPARTAMENTO</t>
        </r>
        <r>
          <rPr>
            <sz val="9"/>
            <color indexed="81"/>
            <rFont val="Tahoma"/>
            <family val="2"/>
          </rPr>
          <t xml:space="preserve">
</t>
        </r>
      </text>
    </comment>
    <comment ref="T111" authorId="3" shapeId="0" xr:uid="{00000000-0006-0000-0000-00007C010000}">
      <text>
        <r>
          <rPr>
            <b/>
            <sz val="9"/>
            <color indexed="81"/>
            <rFont val="Tahoma"/>
            <family val="2"/>
          </rPr>
          <t>COFINACIACIÓN NACIÓN</t>
        </r>
      </text>
    </comment>
    <comment ref="U111" authorId="3" shapeId="0" xr:uid="{00000000-0006-0000-0000-00007D010000}">
      <text>
        <r>
          <rPr>
            <b/>
            <sz val="9"/>
            <color indexed="81"/>
            <rFont val="Tahoma"/>
            <family val="2"/>
          </rPr>
          <t>COFINACIACIÓN NACIÓN</t>
        </r>
      </text>
    </comment>
    <comment ref="V111" authorId="3" shapeId="0" xr:uid="{00000000-0006-0000-0000-00007E010000}">
      <text>
        <r>
          <rPr>
            <b/>
            <sz val="9"/>
            <color indexed="81"/>
            <rFont val="Tahoma"/>
            <family val="2"/>
          </rPr>
          <t>CRÉDITO</t>
        </r>
      </text>
    </comment>
    <comment ref="W111" authorId="3" shapeId="0" xr:uid="{00000000-0006-0000-0000-00007F010000}">
      <text>
        <r>
          <rPr>
            <b/>
            <sz val="9"/>
            <color indexed="81"/>
            <rFont val="Tahoma"/>
            <family val="2"/>
          </rPr>
          <t>CRÉDITO</t>
        </r>
      </text>
    </comment>
    <comment ref="X111" authorId="3" shapeId="0" xr:uid="{00000000-0006-0000-0000-000080010000}">
      <text>
        <r>
          <rPr>
            <b/>
            <sz val="9"/>
            <color indexed="81"/>
            <rFont val="Tahoma"/>
            <family val="2"/>
          </rPr>
          <t>OTROS</t>
        </r>
      </text>
    </comment>
    <comment ref="Y111" authorId="3" shapeId="0" xr:uid="{00000000-0006-0000-0000-000081010000}">
      <text>
        <r>
          <rPr>
            <b/>
            <sz val="9"/>
            <color indexed="81"/>
            <rFont val="Tahoma"/>
            <family val="2"/>
          </rPr>
          <t>OTROS</t>
        </r>
      </text>
    </comment>
    <comment ref="Z111" authorId="3" shapeId="0" xr:uid="{00000000-0006-0000-0000-000082010000}">
      <text>
        <r>
          <rPr>
            <b/>
            <sz val="9"/>
            <color indexed="81"/>
            <rFont val="Tahoma"/>
            <family val="2"/>
          </rPr>
          <t>RECURSOS PROPIOS</t>
        </r>
      </text>
    </comment>
    <comment ref="AA111" authorId="3" shapeId="0" xr:uid="{00000000-0006-0000-0000-000083010000}">
      <text>
        <r>
          <rPr>
            <b/>
            <sz val="9"/>
            <color indexed="81"/>
            <rFont val="Tahoma"/>
            <family val="2"/>
          </rPr>
          <t>RECURSOS PROPIOS</t>
        </r>
      </text>
    </comment>
    <comment ref="AB111" authorId="3" shapeId="0" xr:uid="{00000000-0006-0000-0000-000084010000}">
      <text>
        <r>
          <rPr>
            <b/>
            <sz val="9"/>
            <color indexed="81"/>
            <rFont val="Tahoma"/>
            <family val="2"/>
          </rPr>
          <t>SGP</t>
        </r>
      </text>
    </comment>
    <comment ref="AC111" authorId="3" shapeId="0" xr:uid="{00000000-0006-0000-0000-000085010000}">
      <text>
        <r>
          <rPr>
            <b/>
            <sz val="9"/>
            <color indexed="81"/>
            <rFont val="Tahoma"/>
            <family val="2"/>
          </rPr>
          <t>SGP</t>
        </r>
      </text>
    </comment>
    <comment ref="AD111" authorId="3" shapeId="0" xr:uid="{00000000-0006-0000-0000-000086010000}">
      <text>
        <r>
          <rPr>
            <b/>
            <sz val="9"/>
            <color indexed="81"/>
            <rFont val="Tahoma"/>
            <family val="2"/>
          </rPr>
          <t>REGALÍAS</t>
        </r>
      </text>
    </comment>
    <comment ref="AE111" authorId="3" shapeId="0" xr:uid="{00000000-0006-0000-0000-000087010000}">
      <text>
        <r>
          <rPr>
            <b/>
            <sz val="9"/>
            <color indexed="81"/>
            <rFont val="Tahoma"/>
            <family val="2"/>
          </rPr>
          <t>REGALÍAS</t>
        </r>
      </text>
    </comment>
    <comment ref="AF111" authorId="3" shapeId="0" xr:uid="{00000000-0006-0000-0000-000088010000}">
      <text>
        <r>
          <rPr>
            <b/>
            <sz val="9"/>
            <color indexed="81"/>
            <rFont val="Tahoma"/>
            <family val="2"/>
          </rPr>
          <t>RECURSOS FUNCIONAMIENTO</t>
        </r>
      </text>
    </comment>
    <comment ref="AG111" authorId="3" shapeId="0" xr:uid="{00000000-0006-0000-0000-000089010000}">
      <text>
        <r>
          <rPr>
            <b/>
            <sz val="9"/>
            <color indexed="81"/>
            <rFont val="Tahoma"/>
            <family val="2"/>
          </rPr>
          <t>RECURSOS FUNCIONAMIENTO</t>
        </r>
      </text>
    </comment>
    <comment ref="AH111" authorId="3" shapeId="0" xr:uid="{00000000-0006-0000-0000-00008A010000}">
      <text>
        <r>
          <rPr>
            <b/>
            <sz val="9"/>
            <color indexed="81"/>
            <rFont val="Tahoma"/>
            <family val="2"/>
          </rPr>
          <t>RECURSOS GESTIONADOS</t>
        </r>
      </text>
    </comment>
    <comment ref="AI111" authorId="3" shapeId="0" xr:uid="{00000000-0006-0000-0000-00008B010000}">
      <text>
        <r>
          <rPr>
            <b/>
            <sz val="9"/>
            <color indexed="81"/>
            <rFont val="Tahoma"/>
            <family val="2"/>
          </rPr>
          <t>RECURSOS GESTIONADOS</t>
        </r>
      </text>
    </comment>
    <comment ref="AJ111" authorId="3" shapeId="0" xr:uid="{00000000-0006-0000-0000-00008C010000}">
      <text>
        <r>
          <rPr>
            <b/>
            <sz val="9"/>
            <color indexed="81"/>
            <rFont val="Tahoma"/>
            <family val="2"/>
          </rPr>
          <t>TOTALES</t>
        </r>
        <r>
          <rPr>
            <sz val="9"/>
            <color indexed="81"/>
            <rFont val="Tahoma"/>
            <family val="2"/>
          </rPr>
          <t xml:space="preserve">
</t>
        </r>
      </text>
    </comment>
    <comment ref="AK111" authorId="3" shapeId="0" xr:uid="{00000000-0006-0000-0000-00008D010000}">
      <text>
        <r>
          <rPr>
            <b/>
            <sz val="9"/>
            <color indexed="81"/>
            <rFont val="Tahoma"/>
            <family val="2"/>
          </rPr>
          <t>TOTALES</t>
        </r>
        <r>
          <rPr>
            <sz val="9"/>
            <color indexed="81"/>
            <rFont val="Tahoma"/>
            <family val="2"/>
          </rPr>
          <t xml:space="preserve">
</t>
        </r>
      </text>
    </comment>
    <comment ref="AL111" authorId="2" shapeId="0" xr:uid="{00000000-0006-0000-0000-00008E010000}">
      <text>
        <r>
          <rPr>
            <b/>
            <sz val="8"/>
            <color indexed="81"/>
            <rFont val="Tahoma"/>
            <family val="2"/>
          </rPr>
          <t>PRIMERA INFANCIA (0 a 5 años)</t>
        </r>
        <r>
          <rPr>
            <sz val="8"/>
            <color indexed="81"/>
            <rFont val="Tahoma"/>
            <family val="2"/>
          </rPr>
          <t xml:space="preserve">
</t>
        </r>
      </text>
    </comment>
    <comment ref="AM111" authorId="2" shapeId="0" xr:uid="{00000000-0006-0000-0000-00008F010000}">
      <text>
        <r>
          <rPr>
            <b/>
            <sz val="8"/>
            <color indexed="81"/>
            <rFont val="Tahoma"/>
            <family val="2"/>
          </rPr>
          <t>INFANCIA (6 a 11 años)</t>
        </r>
        <r>
          <rPr>
            <sz val="8"/>
            <color indexed="81"/>
            <rFont val="Tahoma"/>
            <family val="2"/>
          </rPr>
          <t xml:space="preserve">
</t>
        </r>
      </text>
    </comment>
    <comment ref="AN111" authorId="2" shapeId="0" xr:uid="{00000000-0006-0000-0000-000090010000}">
      <text>
        <r>
          <rPr>
            <b/>
            <sz val="8"/>
            <color indexed="81"/>
            <rFont val="Tahoma"/>
            <family val="2"/>
          </rPr>
          <t>ADOLESCENCIA (12 A 17 años)</t>
        </r>
      </text>
    </comment>
    <comment ref="AO111" authorId="2" shapeId="0" xr:uid="{00000000-0006-0000-0000-000091010000}">
      <text>
        <r>
          <rPr>
            <b/>
            <sz val="8"/>
            <color indexed="81"/>
            <rFont val="Tahoma"/>
            <family val="2"/>
          </rPr>
          <t>JUVENTUD (18 a 28 años)</t>
        </r>
        <r>
          <rPr>
            <sz val="8"/>
            <color indexed="81"/>
            <rFont val="Tahoma"/>
            <family val="2"/>
          </rPr>
          <t xml:space="preserve">
</t>
        </r>
      </text>
    </comment>
    <comment ref="AP111" authorId="2" shapeId="0" xr:uid="{00000000-0006-0000-0000-000092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93010000}">
      <text>
        <r>
          <rPr>
            <b/>
            <sz val="8"/>
            <color indexed="81"/>
            <rFont val="Tahoma"/>
            <family val="2"/>
          </rPr>
          <t>ADULTO MAYOR  (61 años en adelante)</t>
        </r>
        <r>
          <rPr>
            <sz val="8"/>
            <color indexed="81"/>
            <rFont val="Tahoma"/>
            <family val="2"/>
          </rPr>
          <t xml:space="preserve">
</t>
        </r>
      </text>
    </comment>
    <comment ref="AS111" authorId="2" shapeId="0" xr:uid="{00000000-0006-0000-0000-000094010000}">
      <text>
        <r>
          <rPr>
            <b/>
            <sz val="8"/>
            <color indexed="81"/>
            <rFont val="Tahoma"/>
            <family val="2"/>
          </rPr>
          <t>MUJERES</t>
        </r>
        <r>
          <rPr>
            <sz val="8"/>
            <color indexed="81"/>
            <rFont val="Tahoma"/>
            <family val="2"/>
          </rPr>
          <t xml:space="preserve">
</t>
        </r>
      </text>
    </comment>
    <comment ref="AT111" authorId="2" shapeId="0" xr:uid="{00000000-0006-0000-0000-000095010000}">
      <text>
        <r>
          <rPr>
            <b/>
            <sz val="8"/>
            <color indexed="81"/>
            <rFont val="Tahoma"/>
            <family val="2"/>
          </rPr>
          <t>HOMBRES</t>
        </r>
      </text>
    </comment>
    <comment ref="AV111" authorId="2" shapeId="0" xr:uid="{00000000-0006-0000-0000-000096010000}">
      <text>
        <r>
          <rPr>
            <b/>
            <sz val="8"/>
            <color indexed="81"/>
            <rFont val="Tahoma"/>
            <family val="2"/>
          </rPr>
          <t>VÍCTIMAS CONFLICTO ARMADO</t>
        </r>
        <r>
          <rPr>
            <sz val="8"/>
            <color indexed="81"/>
            <rFont val="Tahoma"/>
            <family val="2"/>
          </rPr>
          <t xml:space="preserve">
</t>
        </r>
      </text>
    </comment>
    <comment ref="AX111" authorId="2" shapeId="0" xr:uid="{00000000-0006-0000-0000-000097010000}">
      <text>
        <r>
          <rPr>
            <b/>
            <sz val="8"/>
            <color indexed="81"/>
            <rFont val="Tahoma"/>
            <family val="2"/>
          </rPr>
          <t>DISCAPACITADOS</t>
        </r>
        <r>
          <rPr>
            <sz val="8"/>
            <color indexed="81"/>
            <rFont val="Tahoma"/>
            <family val="2"/>
          </rPr>
          <t xml:space="preserve">
</t>
        </r>
      </text>
    </comment>
    <comment ref="AY111" authorId="2" shapeId="0" xr:uid="{00000000-0006-0000-0000-000098010000}">
      <text>
        <r>
          <rPr>
            <b/>
            <sz val="8"/>
            <color indexed="81"/>
            <rFont val="Tahoma"/>
            <family val="2"/>
          </rPr>
          <t>AFROCOLOMBIANO O RAIZAL</t>
        </r>
      </text>
    </comment>
    <comment ref="AZ111" authorId="2" shapeId="0" xr:uid="{00000000-0006-0000-0000-000099010000}">
      <text>
        <r>
          <rPr>
            <b/>
            <sz val="8"/>
            <color indexed="81"/>
            <rFont val="Tahoma"/>
            <family val="2"/>
          </rPr>
          <t>INDÍGENAS</t>
        </r>
        <r>
          <rPr>
            <sz val="8"/>
            <color indexed="81"/>
            <rFont val="Tahoma"/>
            <family val="2"/>
          </rPr>
          <t xml:space="preserve">
</t>
        </r>
      </text>
    </comment>
    <comment ref="BA111" authorId="1" shapeId="0" xr:uid="{00000000-0006-0000-0000-00009A010000}">
      <text>
        <r>
          <rPr>
            <b/>
            <sz val="9"/>
            <color indexed="81"/>
            <rFont val="Tahoma"/>
            <family val="2"/>
          </rPr>
          <t>MEDIO DE EVIDENCIA. INFORME, RESGISTRO FOTOGRAFICO, PLANILLA, ETC</t>
        </r>
      </text>
    </comment>
    <comment ref="R120" authorId="3" shapeId="0" xr:uid="{00000000-0006-0000-0000-00009B010000}">
      <text>
        <r>
          <rPr>
            <b/>
            <sz val="9"/>
            <color indexed="81"/>
            <rFont val="Tahoma"/>
            <family val="2"/>
          </rPr>
          <t>COFINANCIACIÓN DEPARTAMENTO</t>
        </r>
        <r>
          <rPr>
            <sz val="9"/>
            <color indexed="81"/>
            <rFont val="Tahoma"/>
            <family val="2"/>
          </rPr>
          <t xml:space="preserve">
</t>
        </r>
      </text>
    </comment>
    <comment ref="S120" authorId="3" shapeId="0" xr:uid="{00000000-0006-0000-0000-00009C010000}">
      <text>
        <r>
          <rPr>
            <b/>
            <sz val="9"/>
            <color indexed="81"/>
            <rFont val="Tahoma"/>
            <family val="2"/>
          </rPr>
          <t>COFINANCIACIÓN DEPARTAMENTO</t>
        </r>
        <r>
          <rPr>
            <sz val="9"/>
            <color indexed="81"/>
            <rFont val="Tahoma"/>
            <family val="2"/>
          </rPr>
          <t xml:space="preserve">
</t>
        </r>
      </text>
    </comment>
    <comment ref="T120" authorId="3" shapeId="0" xr:uid="{00000000-0006-0000-0000-00009D010000}">
      <text>
        <r>
          <rPr>
            <b/>
            <sz val="9"/>
            <color indexed="81"/>
            <rFont val="Tahoma"/>
            <family val="2"/>
          </rPr>
          <t>COFINACIACIÓN NACIÓN</t>
        </r>
      </text>
    </comment>
    <comment ref="U120" authorId="3" shapeId="0" xr:uid="{00000000-0006-0000-0000-00009E010000}">
      <text>
        <r>
          <rPr>
            <b/>
            <sz val="9"/>
            <color indexed="81"/>
            <rFont val="Tahoma"/>
            <family val="2"/>
          </rPr>
          <t>COFINACIACIÓN NACIÓN</t>
        </r>
      </text>
    </comment>
    <comment ref="V120" authorId="3" shapeId="0" xr:uid="{00000000-0006-0000-0000-00009F010000}">
      <text>
        <r>
          <rPr>
            <b/>
            <sz val="9"/>
            <color indexed="81"/>
            <rFont val="Tahoma"/>
            <family val="2"/>
          </rPr>
          <t>CRÉDITO</t>
        </r>
      </text>
    </comment>
    <comment ref="W120" authorId="3" shapeId="0" xr:uid="{00000000-0006-0000-0000-0000A0010000}">
      <text>
        <r>
          <rPr>
            <b/>
            <sz val="9"/>
            <color indexed="81"/>
            <rFont val="Tahoma"/>
            <family val="2"/>
          </rPr>
          <t>CRÉDITO</t>
        </r>
      </text>
    </comment>
    <comment ref="X120" authorId="3" shapeId="0" xr:uid="{00000000-0006-0000-0000-0000A1010000}">
      <text>
        <r>
          <rPr>
            <b/>
            <sz val="9"/>
            <color indexed="81"/>
            <rFont val="Tahoma"/>
            <family val="2"/>
          </rPr>
          <t>OTROS</t>
        </r>
      </text>
    </comment>
    <comment ref="Y120" authorId="3" shapeId="0" xr:uid="{00000000-0006-0000-0000-0000A2010000}">
      <text>
        <r>
          <rPr>
            <b/>
            <sz val="9"/>
            <color indexed="81"/>
            <rFont val="Tahoma"/>
            <family val="2"/>
          </rPr>
          <t>OTROS</t>
        </r>
      </text>
    </comment>
    <comment ref="Z120" authorId="3" shapeId="0" xr:uid="{00000000-0006-0000-0000-0000A3010000}">
      <text>
        <r>
          <rPr>
            <b/>
            <sz val="9"/>
            <color indexed="81"/>
            <rFont val="Tahoma"/>
            <family val="2"/>
          </rPr>
          <t>RECURSOS PROPIOS</t>
        </r>
      </text>
    </comment>
    <comment ref="AA120" authorId="3" shapeId="0" xr:uid="{00000000-0006-0000-0000-0000A4010000}">
      <text>
        <r>
          <rPr>
            <b/>
            <sz val="9"/>
            <color indexed="81"/>
            <rFont val="Tahoma"/>
            <family val="2"/>
          </rPr>
          <t>RECURSOS PROPIOS</t>
        </r>
      </text>
    </comment>
    <comment ref="AB120" authorId="3" shapeId="0" xr:uid="{00000000-0006-0000-0000-0000A5010000}">
      <text>
        <r>
          <rPr>
            <b/>
            <sz val="9"/>
            <color indexed="81"/>
            <rFont val="Tahoma"/>
            <family val="2"/>
          </rPr>
          <t>SGP</t>
        </r>
      </text>
    </comment>
    <comment ref="AC120" authorId="3" shapeId="0" xr:uid="{00000000-0006-0000-0000-0000A6010000}">
      <text>
        <r>
          <rPr>
            <b/>
            <sz val="9"/>
            <color indexed="81"/>
            <rFont val="Tahoma"/>
            <family val="2"/>
          </rPr>
          <t>SGP</t>
        </r>
      </text>
    </comment>
    <comment ref="AD120" authorId="3" shapeId="0" xr:uid="{00000000-0006-0000-0000-0000A7010000}">
      <text>
        <r>
          <rPr>
            <b/>
            <sz val="9"/>
            <color indexed="81"/>
            <rFont val="Tahoma"/>
            <family val="2"/>
          </rPr>
          <t>REGALÍAS</t>
        </r>
      </text>
    </comment>
    <comment ref="AE120" authorId="3" shapeId="0" xr:uid="{00000000-0006-0000-0000-0000A8010000}">
      <text>
        <r>
          <rPr>
            <b/>
            <sz val="9"/>
            <color indexed="81"/>
            <rFont val="Tahoma"/>
            <family val="2"/>
          </rPr>
          <t>REGALÍAS</t>
        </r>
      </text>
    </comment>
    <comment ref="AF120" authorId="3" shapeId="0" xr:uid="{00000000-0006-0000-0000-0000A9010000}">
      <text>
        <r>
          <rPr>
            <b/>
            <sz val="9"/>
            <color indexed="81"/>
            <rFont val="Tahoma"/>
            <family val="2"/>
          </rPr>
          <t>RECURSOS FUNCIONAMIENTO</t>
        </r>
      </text>
    </comment>
    <comment ref="AG120" authorId="3" shapeId="0" xr:uid="{00000000-0006-0000-0000-0000AA010000}">
      <text>
        <r>
          <rPr>
            <b/>
            <sz val="9"/>
            <color indexed="81"/>
            <rFont val="Tahoma"/>
            <family val="2"/>
          </rPr>
          <t>RECURSOS FUNCIONAMIENTO</t>
        </r>
      </text>
    </comment>
    <comment ref="AH120" authorId="3" shapeId="0" xr:uid="{00000000-0006-0000-0000-0000AB010000}">
      <text>
        <r>
          <rPr>
            <b/>
            <sz val="9"/>
            <color indexed="81"/>
            <rFont val="Tahoma"/>
            <family val="2"/>
          </rPr>
          <t>RECURSOS GESTIONADOS</t>
        </r>
      </text>
    </comment>
    <comment ref="AI120" authorId="3" shapeId="0" xr:uid="{00000000-0006-0000-0000-0000AC010000}">
      <text>
        <r>
          <rPr>
            <b/>
            <sz val="9"/>
            <color indexed="81"/>
            <rFont val="Tahoma"/>
            <family val="2"/>
          </rPr>
          <t>RECURSOS GESTIONADOS</t>
        </r>
      </text>
    </comment>
    <comment ref="AJ120" authorId="3" shapeId="0" xr:uid="{00000000-0006-0000-0000-0000AD010000}">
      <text>
        <r>
          <rPr>
            <b/>
            <sz val="9"/>
            <color indexed="81"/>
            <rFont val="Tahoma"/>
            <family val="2"/>
          </rPr>
          <t>TOTALES</t>
        </r>
        <r>
          <rPr>
            <sz val="9"/>
            <color indexed="81"/>
            <rFont val="Tahoma"/>
            <family val="2"/>
          </rPr>
          <t xml:space="preserve">
</t>
        </r>
      </text>
    </comment>
    <comment ref="AK120" authorId="3" shapeId="0" xr:uid="{00000000-0006-0000-0000-0000AE010000}">
      <text>
        <r>
          <rPr>
            <b/>
            <sz val="9"/>
            <color indexed="81"/>
            <rFont val="Tahoma"/>
            <family val="2"/>
          </rPr>
          <t>TOTALES</t>
        </r>
        <r>
          <rPr>
            <sz val="9"/>
            <color indexed="81"/>
            <rFont val="Tahoma"/>
            <family val="2"/>
          </rPr>
          <t xml:space="preserve">
</t>
        </r>
      </text>
    </comment>
    <comment ref="AL120" authorId="2" shapeId="0" xr:uid="{00000000-0006-0000-0000-0000AF010000}">
      <text>
        <r>
          <rPr>
            <b/>
            <sz val="8"/>
            <color indexed="81"/>
            <rFont val="Tahoma"/>
            <family val="2"/>
          </rPr>
          <t>PRIMERA INFANCIA (0 a 5 años)</t>
        </r>
        <r>
          <rPr>
            <sz val="8"/>
            <color indexed="81"/>
            <rFont val="Tahoma"/>
            <family val="2"/>
          </rPr>
          <t xml:space="preserve">
</t>
        </r>
      </text>
    </comment>
    <comment ref="AM120" authorId="2" shapeId="0" xr:uid="{00000000-0006-0000-0000-0000B0010000}">
      <text>
        <r>
          <rPr>
            <b/>
            <sz val="8"/>
            <color indexed="81"/>
            <rFont val="Tahoma"/>
            <family val="2"/>
          </rPr>
          <t>INFANCIA (6 a 11 años)</t>
        </r>
        <r>
          <rPr>
            <sz val="8"/>
            <color indexed="81"/>
            <rFont val="Tahoma"/>
            <family val="2"/>
          </rPr>
          <t xml:space="preserve">
</t>
        </r>
      </text>
    </comment>
    <comment ref="AN120" authorId="2" shapeId="0" xr:uid="{00000000-0006-0000-0000-0000B1010000}">
      <text>
        <r>
          <rPr>
            <b/>
            <sz val="8"/>
            <color indexed="81"/>
            <rFont val="Tahoma"/>
            <family val="2"/>
          </rPr>
          <t>ADOLESCENCIA (12 A 17 años)</t>
        </r>
      </text>
    </comment>
    <comment ref="AO120" authorId="2" shapeId="0" xr:uid="{00000000-0006-0000-0000-0000B2010000}">
      <text>
        <r>
          <rPr>
            <b/>
            <sz val="8"/>
            <color indexed="81"/>
            <rFont val="Tahoma"/>
            <family val="2"/>
          </rPr>
          <t>JUVENTUD (18 a 28 años)</t>
        </r>
        <r>
          <rPr>
            <sz val="8"/>
            <color indexed="81"/>
            <rFont val="Tahoma"/>
            <family val="2"/>
          </rPr>
          <t xml:space="preserve">
</t>
        </r>
      </text>
    </comment>
    <comment ref="AP120" authorId="2" shapeId="0" xr:uid="{00000000-0006-0000-0000-0000B3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B4010000}">
      <text>
        <r>
          <rPr>
            <b/>
            <sz val="8"/>
            <color indexed="81"/>
            <rFont val="Tahoma"/>
            <family val="2"/>
          </rPr>
          <t>ADULTO MAYOR  (61 años en adelante)</t>
        </r>
        <r>
          <rPr>
            <sz val="8"/>
            <color indexed="81"/>
            <rFont val="Tahoma"/>
            <family val="2"/>
          </rPr>
          <t xml:space="preserve">
</t>
        </r>
      </text>
    </comment>
    <comment ref="AS120" authorId="2" shapeId="0" xr:uid="{00000000-0006-0000-0000-0000B5010000}">
      <text>
        <r>
          <rPr>
            <b/>
            <sz val="8"/>
            <color indexed="81"/>
            <rFont val="Tahoma"/>
            <family val="2"/>
          </rPr>
          <t>MUJERES</t>
        </r>
        <r>
          <rPr>
            <sz val="8"/>
            <color indexed="81"/>
            <rFont val="Tahoma"/>
            <family val="2"/>
          </rPr>
          <t xml:space="preserve">
</t>
        </r>
      </text>
    </comment>
    <comment ref="AT120" authorId="2" shapeId="0" xr:uid="{00000000-0006-0000-0000-0000B6010000}">
      <text>
        <r>
          <rPr>
            <b/>
            <sz val="8"/>
            <color indexed="81"/>
            <rFont val="Tahoma"/>
            <family val="2"/>
          </rPr>
          <t>HOMBRES</t>
        </r>
      </text>
    </comment>
    <comment ref="AV120" authorId="2" shapeId="0" xr:uid="{00000000-0006-0000-0000-0000B7010000}">
      <text>
        <r>
          <rPr>
            <b/>
            <sz val="8"/>
            <color indexed="81"/>
            <rFont val="Tahoma"/>
            <family val="2"/>
          </rPr>
          <t>VÍCTIMAS CONFLICTO ARMADO</t>
        </r>
        <r>
          <rPr>
            <sz val="8"/>
            <color indexed="81"/>
            <rFont val="Tahoma"/>
            <family val="2"/>
          </rPr>
          <t xml:space="preserve">
</t>
        </r>
      </text>
    </comment>
    <comment ref="AX120" authorId="2" shapeId="0" xr:uid="{00000000-0006-0000-0000-0000B8010000}">
      <text>
        <r>
          <rPr>
            <b/>
            <sz val="8"/>
            <color indexed="81"/>
            <rFont val="Tahoma"/>
            <family val="2"/>
          </rPr>
          <t>DISCAPACITADOS</t>
        </r>
        <r>
          <rPr>
            <sz val="8"/>
            <color indexed="81"/>
            <rFont val="Tahoma"/>
            <family val="2"/>
          </rPr>
          <t xml:space="preserve">
</t>
        </r>
      </text>
    </comment>
    <comment ref="AY120" authorId="2" shapeId="0" xr:uid="{00000000-0006-0000-0000-0000B9010000}">
      <text>
        <r>
          <rPr>
            <b/>
            <sz val="8"/>
            <color indexed="81"/>
            <rFont val="Tahoma"/>
            <family val="2"/>
          </rPr>
          <t>AFROCOLOMBIANO O RAIZAL</t>
        </r>
      </text>
    </comment>
    <comment ref="AZ120" authorId="2" shapeId="0" xr:uid="{00000000-0006-0000-0000-0000BA010000}">
      <text>
        <r>
          <rPr>
            <b/>
            <sz val="8"/>
            <color indexed="81"/>
            <rFont val="Tahoma"/>
            <family val="2"/>
          </rPr>
          <t>INDÍGENAS</t>
        </r>
        <r>
          <rPr>
            <sz val="8"/>
            <color indexed="81"/>
            <rFont val="Tahoma"/>
            <family val="2"/>
          </rPr>
          <t xml:space="preserve">
</t>
        </r>
      </text>
    </comment>
    <comment ref="BA120" authorId="1" shapeId="0" xr:uid="{00000000-0006-0000-0000-0000BB010000}">
      <text>
        <r>
          <rPr>
            <b/>
            <sz val="9"/>
            <color indexed="81"/>
            <rFont val="Tahoma"/>
            <family val="2"/>
          </rPr>
          <t>MEDIO DE EVIDENCIA. INFORME, RESGISTRO FOTOGRAFICO, PLANILLA, ETC</t>
        </r>
      </text>
    </comment>
    <comment ref="R129" authorId="3" shapeId="0" xr:uid="{00000000-0006-0000-0000-0000BC010000}">
      <text>
        <r>
          <rPr>
            <b/>
            <sz val="9"/>
            <color indexed="81"/>
            <rFont val="Tahoma"/>
            <family val="2"/>
          </rPr>
          <t>COFINANCIACIÓN DEPARTAMENTO</t>
        </r>
        <r>
          <rPr>
            <sz val="9"/>
            <color indexed="81"/>
            <rFont val="Tahoma"/>
            <family val="2"/>
          </rPr>
          <t xml:space="preserve">
</t>
        </r>
      </text>
    </comment>
    <comment ref="S129" authorId="3" shapeId="0" xr:uid="{00000000-0006-0000-0000-0000BD010000}">
      <text>
        <r>
          <rPr>
            <b/>
            <sz val="9"/>
            <color indexed="81"/>
            <rFont val="Tahoma"/>
            <family val="2"/>
          </rPr>
          <t>COFINANCIACIÓN DEPARTAMENTO</t>
        </r>
        <r>
          <rPr>
            <sz val="9"/>
            <color indexed="81"/>
            <rFont val="Tahoma"/>
            <family val="2"/>
          </rPr>
          <t xml:space="preserve">
</t>
        </r>
      </text>
    </comment>
    <comment ref="T129" authorId="3" shapeId="0" xr:uid="{00000000-0006-0000-0000-0000BE010000}">
      <text>
        <r>
          <rPr>
            <b/>
            <sz val="9"/>
            <color indexed="81"/>
            <rFont val="Tahoma"/>
            <family val="2"/>
          </rPr>
          <t>COFINACIACIÓN NACIÓN</t>
        </r>
      </text>
    </comment>
    <comment ref="U129" authorId="3" shapeId="0" xr:uid="{00000000-0006-0000-0000-0000BF010000}">
      <text>
        <r>
          <rPr>
            <b/>
            <sz val="9"/>
            <color indexed="81"/>
            <rFont val="Tahoma"/>
            <family val="2"/>
          </rPr>
          <t>COFINACIACIÓN NACIÓN</t>
        </r>
      </text>
    </comment>
    <comment ref="V129" authorId="3" shapeId="0" xr:uid="{00000000-0006-0000-0000-0000C0010000}">
      <text>
        <r>
          <rPr>
            <b/>
            <sz val="9"/>
            <color indexed="81"/>
            <rFont val="Tahoma"/>
            <family val="2"/>
          </rPr>
          <t>CRÉDITO</t>
        </r>
      </text>
    </comment>
    <comment ref="W129" authorId="3" shapeId="0" xr:uid="{00000000-0006-0000-0000-0000C1010000}">
      <text>
        <r>
          <rPr>
            <b/>
            <sz val="9"/>
            <color indexed="81"/>
            <rFont val="Tahoma"/>
            <family val="2"/>
          </rPr>
          <t>CRÉDITO</t>
        </r>
      </text>
    </comment>
    <comment ref="X129" authorId="3" shapeId="0" xr:uid="{00000000-0006-0000-0000-0000C2010000}">
      <text>
        <r>
          <rPr>
            <b/>
            <sz val="9"/>
            <color indexed="81"/>
            <rFont val="Tahoma"/>
            <family val="2"/>
          </rPr>
          <t>OTROS</t>
        </r>
      </text>
    </comment>
    <comment ref="Y129" authorId="3" shapeId="0" xr:uid="{00000000-0006-0000-0000-0000C3010000}">
      <text>
        <r>
          <rPr>
            <b/>
            <sz val="9"/>
            <color indexed="81"/>
            <rFont val="Tahoma"/>
            <family val="2"/>
          </rPr>
          <t>OTROS</t>
        </r>
      </text>
    </comment>
    <comment ref="Z129" authorId="3" shapeId="0" xr:uid="{00000000-0006-0000-0000-0000C4010000}">
      <text>
        <r>
          <rPr>
            <b/>
            <sz val="9"/>
            <color indexed="81"/>
            <rFont val="Tahoma"/>
            <family val="2"/>
          </rPr>
          <t>RECURSOS PROPIOS</t>
        </r>
      </text>
    </comment>
    <comment ref="AA129" authorId="3" shapeId="0" xr:uid="{00000000-0006-0000-0000-0000C5010000}">
      <text>
        <r>
          <rPr>
            <b/>
            <sz val="9"/>
            <color indexed="81"/>
            <rFont val="Tahoma"/>
            <family val="2"/>
          </rPr>
          <t>RECURSOS PROPIOS</t>
        </r>
      </text>
    </comment>
    <comment ref="AB129" authorId="3" shapeId="0" xr:uid="{00000000-0006-0000-0000-0000C6010000}">
      <text>
        <r>
          <rPr>
            <b/>
            <sz val="9"/>
            <color indexed="81"/>
            <rFont val="Tahoma"/>
            <family val="2"/>
          </rPr>
          <t>SGP</t>
        </r>
      </text>
    </comment>
    <comment ref="AC129" authorId="3" shapeId="0" xr:uid="{00000000-0006-0000-0000-0000C7010000}">
      <text>
        <r>
          <rPr>
            <b/>
            <sz val="9"/>
            <color indexed="81"/>
            <rFont val="Tahoma"/>
            <family val="2"/>
          </rPr>
          <t>SGP</t>
        </r>
      </text>
    </comment>
    <comment ref="AD129" authorId="3" shapeId="0" xr:uid="{00000000-0006-0000-0000-0000C8010000}">
      <text>
        <r>
          <rPr>
            <b/>
            <sz val="9"/>
            <color indexed="81"/>
            <rFont val="Tahoma"/>
            <family val="2"/>
          </rPr>
          <t>REGALÍAS</t>
        </r>
      </text>
    </comment>
    <comment ref="AE129" authorId="3" shapeId="0" xr:uid="{00000000-0006-0000-0000-0000C9010000}">
      <text>
        <r>
          <rPr>
            <b/>
            <sz val="9"/>
            <color indexed="81"/>
            <rFont val="Tahoma"/>
            <family val="2"/>
          </rPr>
          <t>REGALÍAS</t>
        </r>
      </text>
    </comment>
    <comment ref="AF129" authorId="3" shapeId="0" xr:uid="{00000000-0006-0000-0000-0000CA010000}">
      <text>
        <r>
          <rPr>
            <b/>
            <sz val="9"/>
            <color indexed="81"/>
            <rFont val="Tahoma"/>
            <family val="2"/>
          </rPr>
          <t>RECURSOS FUNCIONAMIENTO</t>
        </r>
      </text>
    </comment>
    <comment ref="AG129" authorId="3" shapeId="0" xr:uid="{00000000-0006-0000-0000-0000CB010000}">
      <text>
        <r>
          <rPr>
            <b/>
            <sz val="9"/>
            <color indexed="81"/>
            <rFont val="Tahoma"/>
            <family val="2"/>
          </rPr>
          <t>RECURSOS FUNCIONAMIENTO</t>
        </r>
      </text>
    </comment>
    <comment ref="AH129" authorId="3" shapeId="0" xr:uid="{00000000-0006-0000-0000-0000CC010000}">
      <text>
        <r>
          <rPr>
            <b/>
            <sz val="9"/>
            <color indexed="81"/>
            <rFont val="Tahoma"/>
            <family val="2"/>
          </rPr>
          <t>RECURSOS GESTIONADOS</t>
        </r>
      </text>
    </comment>
    <comment ref="AI129" authorId="3" shapeId="0" xr:uid="{00000000-0006-0000-0000-0000CD010000}">
      <text>
        <r>
          <rPr>
            <b/>
            <sz val="9"/>
            <color indexed="81"/>
            <rFont val="Tahoma"/>
            <family val="2"/>
          </rPr>
          <t>RECURSOS GESTIONADOS</t>
        </r>
      </text>
    </comment>
    <comment ref="AJ129" authorId="3" shapeId="0" xr:uid="{00000000-0006-0000-0000-0000CE010000}">
      <text>
        <r>
          <rPr>
            <b/>
            <sz val="9"/>
            <color indexed="81"/>
            <rFont val="Tahoma"/>
            <family val="2"/>
          </rPr>
          <t>TOTALES</t>
        </r>
        <r>
          <rPr>
            <sz val="9"/>
            <color indexed="81"/>
            <rFont val="Tahoma"/>
            <family val="2"/>
          </rPr>
          <t xml:space="preserve">
</t>
        </r>
      </text>
    </comment>
    <comment ref="AK129" authorId="3" shapeId="0" xr:uid="{00000000-0006-0000-0000-0000CF010000}">
      <text>
        <r>
          <rPr>
            <b/>
            <sz val="9"/>
            <color indexed="81"/>
            <rFont val="Tahoma"/>
            <family val="2"/>
          </rPr>
          <t>TOTALES</t>
        </r>
        <r>
          <rPr>
            <sz val="9"/>
            <color indexed="81"/>
            <rFont val="Tahoma"/>
            <family val="2"/>
          </rPr>
          <t xml:space="preserve">
</t>
        </r>
      </text>
    </comment>
    <comment ref="AL129" authorId="2" shapeId="0" xr:uid="{00000000-0006-0000-0000-0000D0010000}">
      <text>
        <r>
          <rPr>
            <b/>
            <sz val="8"/>
            <color indexed="81"/>
            <rFont val="Tahoma"/>
            <family val="2"/>
          </rPr>
          <t>PRIMERA INFANCIA (0 a 5 años)</t>
        </r>
        <r>
          <rPr>
            <sz val="8"/>
            <color indexed="81"/>
            <rFont val="Tahoma"/>
            <family val="2"/>
          </rPr>
          <t xml:space="preserve">
</t>
        </r>
      </text>
    </comment>
    <comment ref="AM129" authorId="2" shapeId="0" xr:uid="{00000000-0006-0000-0000-0000D1010000}">
      <text>
        <r>
          <rPr>
            <b/>
            <sz val="8"/>
            <color indexed="81"/>
            <rFont val="Tahoma"/>
            <family val="2"/>
          </rPr>
          <t>INFANCIA (6 a 11 años)</t>
        </r>
        <r>
          <rPr>
            <sz val="8"/>
            <color indexed="81"/>
            <rFont val="Tahoma"/>
            <family val="2"/>
          </rPr>
          <t xml:space="preserve">
</t>
        </r>
      </text>
    </comment>
    <comment ref="AN129" authorId="2" shapeId="0" xr:uid="{00000000-0006-0000-0000-0000D2010000}">
      <text>
        <r>
          <rPr>
            <b/>
            <sz val="8"/>
            <color indexed="81"/>
            <rFont val="Tahoma"/>
            <family val="2"/>
          </rPr>
          <t>ADOLESCENCIA (12 A 17 años)</t>
        </r>
      </text>
    </comment>
    <comment ref="AO129" authorId="2" shapeId="0" xr:uid="{00000000-0006-0000-0000-0000D3010000}">
      <text>
        <r>
          <rPr>
            <b/>
            <sz val="8"/>
            <color indexed="81"/>
            <rFont val="Tahoma"/>
            <family val="2"/>
          </rPr>
          <t>JUVENTUD (18 a 28 años)</t>
        </r>
        <r>
          <rPr>
            <sz val="8"/>
            <color indexed="81"/>
            <rFont val="Tahoma"/>
            <family val="2"/>
          </rPr>
          <t xml:space="preserve">
</t>
        </r>
      </text>
    </comment>
    <comment ref="AP129" authorId="2" shapeId="0" xr:uid="{00000000-0006-0000-0000-0000D4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D5010000}">
      <text>
        <r>
          <rPr>
            <b/>
            <sz val="8"/>
            <color indexed="81"/>
            <rFont val="Tahoma"/>
            <family val="2"/>
          </rPr>
          <t>ADULTO MAYOR  (61 años en adelante)</t>
        </r>
        <r>
          <rPr>
            <sz val="8"/>
            <color indexed="81"/>
            <rFont val="Tahoma"/>
            <family val="2"/>
          </rPr>
          <t xml:space="preserve">
</t>
        </r>
      </text>
    </comment>
    <comment ref="AS129" authorId="2" shapeId="0" xr:uid="{00000000-0006-0000-0000-0000D6010000}">
      <text>
        <r>
          <rPr>
            <b/>
            <sz val="8"/>
            <color indexed="81"/>
            <rFont val="Tahoma"/>
            <family val="2"/>
          </rPr>
          <t>MUJERES</t>
        </r>
        <r>
          <rPr>
            <sz val="8"/>
            <color indexed="81"/>
            <rFont val="Tahoma"/>
            <family val="2"/>
          </rPr>
          <t xml:space="preserve">
</t>
        </r>
      </text>
    </comment>
    <comment ref="AT129" authorId="2" shapeId="0" xr:uid="{00000000-0006-0000-0000-0000D7010000}">
      <text>
        <r>
          <rPr>
            <b/>
            <sz val="8"/>
            <color indexed="81"/>
            <rFont val="Tahoma"/>
            <family val="2"/>
          </rPr>
          <t>HOMBRES</t>
        </r>
      </text>
    </comment>
    <comment ref="AV129" authorId="2" shapeId="0" xr:uid="{00000000-0006-0000-0000-0000D8010000}">
      <text>
        <r>
          <rPr>
            <b/>
            <sz val="8"/>
            <color indexed="81"/>
            <rFont val="Tahoma"/>
            <family val="2"/>
          </rPr>
          <t>VÍCTIMAS CONFLICTO ARMADO</t>
        </r>
        <r>
          <rPr>
            <sz val="8"/>
            <color indexed="81"/>
            <rFont val="Tahoma"/>
            <family val="2"/>
          </rPr>
          <t xml:space="preserve">
</t>
        </r>
      </text>
    </comment>
    <comment ref="AX129" authorId="2" shapeId="0" xr:uid="{00000000-0006-0000-0000-0000D9010000}">
      <text>
        <r>
          <rPr>
            <b/>
            <sz val="8"/>
            <color indexed="81"/>
            <rFont val="Tahoma"/>
            <family val="2"/>
          </rPr>
          <t>DISCAPACITADOS</t>
        </r>
        <r>
          <rPr>
            <sz val="8"/>
            <color indexed="81"/>
            <rFont val="Tahoma"/>
            <family val="2"/>
          </rPr>
          <t xml:space="preserve">
</t>
        </r>
      </text>
    </comment>
    <comment ref="AY129" authorId="2" shapeId="0" xr:uid="{00000000-0006-0000-0000-0000DA010000}">
      <text>
        <r>
          <rPr>
            <b/>
            <sz val="8"/>
            <color indexed="81"/>
            <rFont val="Tahoma"/>
            <family val="2"/>
          </rPr>
          <t>AFROCOLOMBIANO O RAIZAL</t>
        </r>
      </text>
    </comment>
    <comment ref="AZ129" authorId="2" shapeId="0" xr:uid="{00000000-0006-0000-0000-0000DB010000}">
      <text>
        <r>
          <rPr>
            <b/>
            <sz val="8"/>
            <color indexed="81"/>
            <rFont val="Tahoma"/>
            <family val="2"/>
          </rPr>
          <t>INDÍGENAS</t>
        </r>
        <r>
          <rPr>
            <sz val="8"/>
            <color indexed="81"/>
            <rFont val="Tahoma"/>
            <family val="2"/>
          </rPr>
          <t xml:space="preserve">
</t>
        </r>
      </text>
    </comment>
    <comment ref="BA129" authorId="1" shapeId="0" xr:uid="{00000000-0006-0000-0000-0000DC010000}">
      <text>
        <r>
          <rPr>
            <b/>
            <sz val="9"/>
            <color indexed="81"/>
            <rFont val="Tahoma"/>
            <family val="2"/>
          </rPr>
          <t>MEDIO DE EVIDENCIA. INFORME, RESGISTRO FOTOGRAFICO, PLANILLA, ETC</t>
        </r>
      </text>
    </comment>
    <comment ref="R138" authorId="3" shapeId="0" xr:uid="{00000000-0006-0000-0000-0000DD010000}">
      <text>
        <r>
          <rPr>
            <b/>
            <sz val="9"/>
            <color indexed="81"/>
            <rFont val="Tahoma"/>
            <family val="2"/>
          </rPr>
          <t>COFINANCIACIÓN DEPARTAMENTO</t>
        </r>
        <r>
          <rPr>
            <sz val="9"/>
            <color indexed="81"/>
            <rFont val="Tahoma"/>
            <family val="2"/>
          </rPr>
          <t xml:space="preserve">
</t>
        </r>
      </text>
    </comment>
    <comment ref="S138" authorId="3" shapeId="0" xr:uid="{00000000-0006-0000-0000-0000DE010000}">
      <text>
        <r>
          <rPr>
            <b/>
            <sz val="9"/>
            <color indexed="81"/>
            <rFont val="Tahoma"/>
            <family val="2"/>
          </rPr>
          <t>COFINANCIACIÓN DEPARTAMENTO</t>
        </r>
        <r>
          <rPr>
            <sz val="9"/>
            <color indexed="81"/>
            <rFont val="Tahoma"/>
            <family val="2"/>
          </rPr>
          <t xml:space="preserve">
</t>
        </r>
      </text>
    </comment>
    <comment ref="T138" authorId="3" shapeId="0" xr:uid="{00000000-0006-0000-0000-0000DF010000}">
      <text>
        <r>
          <rPr>
            <b/>
            <sz val="9"/>
            <color indexed="81"/>
            <rFont val="Tahoma"/>
            <family val="2"/>
          </rPr>
          <t>COFINACIACIÓN NACIÓN</t>
        </r>
      </text>
    </comment>
    <comment ref="U138" authorId="3" shapeId="0" xr:uid="{00000000-0006-0000-0000-0000E0010000}">
      <text>
        <r>
          <rPr>
            <b/>
            <sz val="9"/>
            <color indexed="81"/>
            <rFont val="Tahoma"/>
            <family val="2"/>
          </rPr>
          <t>COFINACIACIÓN NACIÓN</t>
        </r>
      </text>
    </comment>
    <comment ref="V138" authorId="3" shapeId="0" xr:uid="{00000000-0006-0000-0000-0000E1010000}">
      <text>
        <r>
          <rPr>
            <b/>
            <sz val="9"/>
            <color indexed="81"/>
            <rFont val="Tahoma"/>
            <family val="2"/>
          </rPr>
          <t>CRÉDITO</t>
        </r>
      </text>
    </comment>
    <comment ref="W138" authorId="3" shapeId="0" xr:uid="{00000000-0006-0000-0000-0000E2010000}">
      <text>
        <r>
          <rPr>
            <b/>
            <sz val="9"/>
            <color indexed="81"/>
            <rFont val="Tahoma"/>
            <family val="2"/>
          </rPr>
          <t>CRÉDITO</t>
        </r>
      </text>
    </comment>
    <comment ref="X138" authorId="3" shapeId="0" xr:uid="{00000000-0006-0000-0000-0000E3010000}">
      <text>
        <r>
          <rPr>
            <b/>
            <sz val="9"/>
            <color indexed="81"/>
            <rFont val="Tahoma"/>
            <family val="2"/>
          </rPr>
          <t>OTROS</t>
        </r>
      </text>
    </comment>
    <comment ref="Y138" authorId="3" shapeId="0" xr:uid="{00000000-0006-0000-0000-0000E4010000}">
      <text>
        <r>
          <rPr>
            <b/>
            <sz val="9"/>
            <color indexed="81"/>
            <rFont val="Tahoma"/>
            <family val="2"/>
          </rPr>
          <t>OTROS</t>
        </r>
      </text>
    </comment>
    <comment ref="Z138" authorId="3" shapeId="0" xr:uid="{00000000-0006-0000-0000-0000E5010000}">
      <text>
        <r>
          <rPr>
            <b/>
            <sz val="9"/>
            <color indexed="81"/>
            <rFont val="Tahoma"/>
            <family val="2"/>
          </rPr>
          <t>RECURSOS PROPIOS</t>
        </r>
      </text>
    </comment>
    <comment ref="AA138" authorId="3" shapeId="0" xr:uid="{00000000-0006-0000-0000-0000E6010000}">
      <text>
        <r>
          <rPr>
            <b/>
            <sz val="9"/>
            <color indexed="81"/>
            <rFont val="Tahoma"/>
            <family val="2"/>
          </rPr>
          <t>RECURSOS PROPIOS</t>
        </r>
      </text>
    </comment>
    <comment ref="AB138" authorId="3" shapeId="0" xr:uid="{00000000-0006-0000-0000-0000E7010000}">
      <text>
        <r>
          <rPr>
            <b/>
            <sz val="9"/>
            <color indexed="81"/>
            <rFont val="Tahoma"/>
            <family val="2"/>
          </rPr>
          <t>SGP</t>
        </r>
      </text>
    </comment>
    <comment ref="AC138" authorId="3" shapeId="0" xr:uid="{00000000-0006-0000-0000-0000E8010000}">
      <text>
        <r>
          <rPr>
            <b/>
            <sz val="9"/>
            <color indexed="81"/>
            <rFont val="Tahoma"/>
            <family val="2"/>
          </rPr>
          <t>SGP</t>
        </r>
      </text>
    </comment>
    <comment ref="AD138" authorId="3" shapeId="0" xr:uid="{00000000-0006-0000-0000-0000E9010000}">
      <text>
        <r>
          <rPr>
            <b/>
            <sz val="9"/>
            <color indexed="81"/>
            <rFont val="Tahoma"/>
            <family val="2"/>
          </rPr>
          <t>REGALÍAS</t>
        </r>
      </text>
    </comment>
    <comment ref="AE138" authorId="3" shapeId="0" xr:uid="{00000000-0006-0000-0000-0000EA010000}">
      <text>
        <r>
          <rPr>
            <b/>
            <sz val="9"/>
            <color indexed="81"/>
            <rFont val="Tahoma"/>
            <family val="2"/>
          </rPr>
          <t>REGALÍAS</t>
        </r>
      </text>
    </comment>
    <comment ref="AF138" authorId="3" shapeId="0" xr:uid="{00000000-0006-0000-0000-0000EB010000}">
      <text>
        <r>
          <rPr>
            <b/>
            <sz val="9"/>
            <color indexed="81"/>
            <rFont val="Tahoma"/>
            <family val="2"/>
          </rPr>
          <t>RECURSOS FUNCIONAMIENTO</t>
        </r>
      </text>
    </comment>
    <comment ref="AG138" authorId="3" shapeId="0" xr:uid="{00000000-0006-0000-0000-0000EC010000}">
      <text>
        <r>
          <rPr>
            <b/>
            <sz val="9"/>
            <color indexed="81"/>
            <rFont val="Tahoma"/>
            <family val="2"/>
          </rPr>
          <t>RECURSOS FUNCIONAMIENTO</t>
        </r>
      </text>
    </comment>
    <comment ref="AH138" authorId="3" shapeId="0" xr:uid="{00000000-0006-0000-0000-0000ED010000}">
      <text>
        <r>
          <rPr>
            <b/>
            <sz val="9"/>
            <color indexed="81"/>
            <rFont val="Tahoma"/>
            <family val="2"/>
          </rPr>
          <t>RECURSOS GESTIONADOS</t>
        </r>
      </text>
    </comment>
    <comment ref="AI138" authorId="3" shapeId="0" xr:uid="{00000000-0006-0000-0000-0000EE010000}">
      <text>
        <r>
          <rPr>
            <b/>
            <sz val="9"/>
            <color indexed="81"/>
            <rFont val="Tahoma"/>
            <family val="2"/>
          </rPr>
          <t>RECURSOS GESTIONADOS</t>
        </r>
      </text>
    </comment>
    <comment ref="AJ138" authorId="3" shapeId="0" xr:uid="{00000000-0006-0000-0000-0000EF010000}">
      <text>
        <r>
          <rPr>
            <b/>
            <sz val="9"/>
            <color indexed="81"/>
            <rFont val="Tahoma"/>
            <family val="2"/>
          </rPr>
          <t>TOTALES</t>
        </r>
        <r>
          <rPr>
            <sz val="9"/>
            <color indexed="81"/>
            <rFont val="Tahoma"/>
            <family val="2"/>
          </rPr>
          <t xml:space="preserve">
</t>
        </r>
      </text>
    </comment>
    <comment ref="AK138" authorId="3" shapeId="0" xr:uid="{00000000-0006-0000-0000-0000F0010000}">
      <text>
        <r>
          <rPr>
            <b/>
            <sz val="9"/>
            <color indexed="81"/>
            <rFont val="Tahoma"/>
            <family val="2"/>
          </rPr>
          <t>TOTALES</t>
        </r>
        <r>
          <rPr>
            <sz val="9"/>
            <color indexed="81"/>
            <rFont val="Tahoma"/>
            <family val="2"/>
          </rPr>
          <t xml:space="preserve">
</t>
        </r>
      </text>
    </comment>
    <comment ref="AL138" authorId="2" shapeId="0" xr:uid="{00000000-0006-0000-0000-0000F1010000}">
      <text>
        <r>
          <rPr>
            <b/>
            <sz val="8"/>
            <color indexed="81"/>
            <rFont val="Tahoma"/>
            <family val="2"/>
          </rPr>
          <t>PRIMERA INFANCIA (0 a 5 años)</t>
        </r>
        <r>
          <rPr>
            <sz val="8"/>
            <color indexed="81"/>
            <rFont val="Tahoma"/>
            <family val="2"/>
          </rPr>
          <t xml:space="preserve">
</t>
        </r>
      </text>
    </comment>
    <comment ref="AM138" authorId="2" shapeId="0" xr:uid="{00000000-0006-0000-0000-0000F2010000}">
      <text>
        <r>
          <rPr>
            <b/>
            <sz val="8"/>
            <color indexed="81"/>
            <rFont val="Tahoma"/>
            <family val="2"/>
          </rPr>
          <t>INFANCIA (6 a 11 años)</t>
        </r>
        <r>
          <rPr>
            <sz val="8"/>
            <color indexed="81"/>
            <rFont val="Tahoma"/>
            <family val="2"/>
          </rPr>
          <t xml:space="preserve">
</t>
        </r>
      </text>
    </comment>
    <comment ref="AN138" authorId="2" shapeId="0" xr:uid="{00000000-0006-0000-0000-0000F3010000}">
      <text>
        <r>
          <rPr>
            <b/>
            <sz val="8"/>
            <color indexed="81"/>
            <rFont val="Tahoma"/>
            <family val="2"/>
          </rPr>
          <t>ADOLESCENCIA (12 A 17 años)</t>
        </r>
      </text>
    </comment>
    <comment ref="AO138" authorId="2" shapeId="0" xr:uid="{00000000-0006-0000-0000-0000F4010000}">
      <text>
        <r>
          <rPr>
            <b/>
            <sz val="8"/>
            <color indexed="81"/>
            <rFont val="Tahoma"/>
            <family val="2"/>
          </rPr>
          <t>JUVENTUD (18 a 28 años)</t>
        </r>
        <r>
          <rPr>
            <sz val="8"/>
            <color indexed="81"/>
            <rFont val="Tahoma"/>
            <family val="2"/>
          </rPr>
          <t xml:space="preserve">
</t>
        </r>
      </text>
    </comment>
    <comment ref="AP138" authorId="2" shapeId="0" xr:uid="{00000000-0006-0000-0000-0000F5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F6010000}">
      <text>
        <r>
          <rPr>
            <b/>
            <sz val="8"/>
            <color indexed="81"/>
            <rFont val="Tahoma"/>
            <family val="2"/>
          </rPr>
          <t>ADULTO MAYOR  (61 años en adelante)</t>
        </r>
        <r>
          <rPr>
            <sz val="8"/>
            <color indexed="81"/>
            <rFont val="Tahoma"/>
            <family val="2"/>
          </rPr>
          <t xml:space="preserve">
</t>
        </r>
      </text>
    </comment>
    <comment ref="AS138" authorId="2" shapeId="0" xr:uid="{00000000-0006-0000-0000-0000F7010000}">
      <text>
        <r>
          <rPr>
            <b/>
            <sz val="8"/>
            <color indexed="81"/>
            <rFont val="Tahoma"/>
            <family val="2"/>
          </rPr>
          <t>MUJERES</t>
        </r>
        <r>
          <rPr>
            <sz val="8"/>
            <color indexed="81"/>
            <rFont val="Tahoma"/>
            <family val="2"/>
          </rPr>
          <t xml:space="preserve">
</t>
        </r>
      </text>
    </comment>
    <comment ref="AT138" authorId="2" shapeId="0" xr:uid="{00000000-0006-0000-0000-0000F8010000}">
      <text>
        <r>
          <rPr>
            <b/>
            <sz val="8"/>
            <color indexed="81"/>
            <rFont val="Tahoma"/>
            <family val="2"/>
          </rPr>
          <t>HOMBRES</t>
        </r>
      </text>
    </comment>
    <comment ref="AV138" authorId="2" shapeId="0" xr:uid="{00000000-0006-0000-0000-0000F9010000}">
      <text>
        <r>
          <rPr>
            <b/>
            <sz val="8"/>
            <color indexed="81"/>
            <rFont val="Tahoma"/>
            <family val="2"/>
          </rPr>
          <t>VÍCTIMAS CONFLICTO ARMADO</t>
        </r>
        <r>
          <rPr>
            <sz val="8"/>
            <color indexed="81"/>
            <rFont val="Tahoma"/>
            <family val="2"/>
          </rPr>
          <t xml:space="preserve">
</t>
        </r>
      </text>
    </comment>
    <comment ref="AX138" authorId="2" shapeId="0" xr:uid="{00000000-0006-0000-0000-0000FA010000}">
      <text>
        <r>
          <rPr>
            <b/>
            <sz val="8"/>
            <color indexed="81"/>
            <rFont val="Tahoma"/>
            <family val="2"/>
          </rPr>
          <t>DISCAPACITADOS</t>
        </r>
        <r>
          <rPr>
            <sz val="8"/>
            <color indexed="81"/>
            <rFont val="Tahoma"/>
            <family val="2"/>
          </rPr>
          <t xml:space="preserve">
</t>
        </r>
      </text>
    </comment>
    <comment ref="AY138" authorId="2" shapeId="0" xr:uid="{00000000-0006-0000-0000-0000FB010000}">
      <text>
        <r>
          <rPr>
            <b/>
            <sz val="8"/>
            <color indexed="81"/>
            <rFont val="Tahoma"/>
            <family val="2"/>
          </rPr>
          <t>AFROCOLOMBIANO O RAIZAL</t>
        </r>
      </text>
    </comment>
    <comment ref="AZ138" authorId="2" shapeId="0" xr:uid="{00000000-0006-0000-0000-0000FC010000}">
      <text>
        <r>
          <rPr>
            <b/>
            <sz val="8"/>
            <color indexed="81"/>
            <rFont val="Tahoma"/>
            <family val="2"/>
          </rPr>
          <t>INDÍGENAS</t>
        </r>
        <r>
          <rPr>
            <sz val="8"/>
            <color indexed="81"/>
            <rFont val="Tahoma"/>
            <family val="2"/>
          </rPr>
          <t xml:space="preserve">
</t>
        </r>
      </text>
    </comment>
    <comment ref="BA138" authorId="1" shapeId="0" xr:uid="{00000000-0006-0000-0000-0000FD010000}">
      <text>
        <r>
          <rPr>
            <b/>
            <sz val="9"/>
            <color indexed="81"/>
            <rFont val="Tahoma"/>
            <family val="2"/>
          </rPr>
          <t>MEDIO DE EVIDENCIA. INFORME, RESGISTRO FOTOGRAFICO, PLANILLA, ETC</t>
        </r>
      </text>
    </comment>
    <comment ref="R147" authorId="3" shapeId="0" xr:uid="{00000000-0006-0000-0000-0000FE010000}">
      <text>
        <r>
          <rPr>
            <b/>
            <sz val="9"/>
            <color indexed="81"/>
            <rFont val="Tahoma"/>
            <family val="2"/>
          </rPr>
          <t>COFINANCIACIÓN DEPARTAMENTO</t>
        </r>
        <r>
          <rPr>
            <sz val="9"/>
            <color indexed="81"/>
            <rFont val="Tahoma"/>
            <family val="2"/>
          </rPr>
          <t xml:space="preserve">
</t>
        </r>
      </text>
    </comment>
    <comment ref="S147" authorId="3" shapeId="0" xr:uid="{00000000-0006-0000-0000-0000FF010000}">
      <text>
        <r>
          <rPr>
            <b/>
            <sz val="9"/>
            <color indexed="81"/>
            <rFont val="Tahoma"/>
            <family val="2"/>
          </rPr>
          <t>COFINANCIACIÓN DEPARTAMENTO</t>
        </r>
        <r>
          <rPr>
            <sz val="9"/>
            <color indexed="81"/>
            <rFont val="Tahoma"/>
            <family val="2"/>
          </rPr>
          <t xml:space="preserve">
</t>
        </r>
      </text>
    </comment>
    <comment ref="T147" authorId="3" shapeId="0" xr:uid="{00000000-0006-0000-0000-000000020000}">
      <text>
        <r>
          <rPr>
            <b/>
            <sz val="9"/>
            <color indexed="81"/>
            <rFont val="Tahoma"/>
            <family val="2"/>
          </rPr>
          <t>COFINACIACIÓN NACIÓN</t>
        </r>
      </text>
    </comment>
    <comment ref="U147" authorId="3" shapeId="0" xr:uid="{00000000-0006-0000-0000-000001020000}">
      <text>
        <r>
          <rPr>
            <b/>
            <sz val="9"/>
            <color indexed="81"/>
            <rFont val="Tahoma"/>
            <family val="2"/>
          </rPr>
          <t>COFINACIACIÓN NACIÓN</t>
        </r>
      </text>
    </comment>
    <comment ref="V147" authorId="3" shapeId="0" xr:uid="{00000000-0006-0000-0000-000002020000}">
      <text>
        <r>
          <rPr>
            <b/>
            <sz val="9"/>
            <color indexed="81"/>
            <rFont val="Tahoma"/>
            <family val="2"/>
          </rPr>
          <t>CRÉDITO</t>
        </r>
      </text>
    </comment>
    <comment ref="W147" authorId="3" shapeId="0" xr:uid="{00000000-0006-0000-0000-000003020000}">
      <text>
        <r>
          <rPr>
            <b/>
            <sz val="9"/>
            <color indexed="81"/>
            <rFont val="Tahoma"/>
            <family val="2"/>
          </rPr>
          <t>CRÉDITO</t>
        </r>
      </text>
    </comment>
    <comment ref="X147" authorId="3" shapeId="0" xr:uid="{00000000-0006-0000-0000-000004020000}">
      <text>
        <r>
          <rPr>
            <b/>
            <sz val="9"/>
            <color indexed="81"/>
            <rFont val="Tahoma"/>
            <family val="2"/>
          </rPr>
          <t>OTROS</t>
        </r>
      </text>
    </comment>
    <comment ref="Y147" authorId="3" shapeId="0" xr:uid="{00000000-0006-0000-0000-000005020000}">
      <text>
        <r>
          <rPr>
            <b/>
            <sz val="9"/>
            <color indexed="81"/>
            <rFont val="Tahoma"/>
            <family val="2"/>
          </rPr>
          <t>OTROS</t>
        </r>
      </text>
    </comment>
    <comment ref="Z147" authorId="3" shapeId="0" xr:uid="{00000000-0006-0000-0000-000006020000}">
      <text>
        <r>
          <rPr>
            <b/>
            <sz val="9"/>
            <color indexed="81"/>
            <rFont val="Tahoma"/>
            <family val="2"/>
          </rPr>
          <t>RECURSOS PROPIOS</t>
        </r>
      </text>
    </comment>
    <comment ref="AA147" authorId="3" shapeId="0" xr:uid="{00000000-0006-0000-0000-000007020000}">
      <text>
        <r>
          <rPr>
            <b/>
            <sz val="9"/>
            <color indexed="81"/>
            <rFont val="Tahoma"/>
            <family val="2"/>
          </rPr>
          <t>RECURSOS PROPIOS</t>
        </r>
      </text>
    </comment>
    <comment ref="AB147" authorId="3" shapeId="0" xr:uid="{00000000-0006-0000-0000-000008020000}">
      <text>
        <r>
          <rPr>
            <b/>
            <sz val="9"/>
            <color indexed="81"/>
            <rFont val="Tahoma"/>
            <family val="2"/>
          </rPr>
          <t>SGP</t>
        </r>
      </text>
    </comment>
    <comment ref="AC147" authorId="3" shapeId="0" xr:uid="{00000000-0006-0000-0000-000009020000}">
      <text>
        <r>
          <rPr>
            <b/>
            <sz val="9"/>
            <color indexed="81"/>
            <rFont val="Tahoma"/>
            <family val="2"/>
          </rPr>
          <t>SGP</t>
        </r>
      </text>
    </comment>
    <comment ref="AD147" authorId="3" shapeId="0" xr:uid="{00000000-0006-0000-0000-00000A020000}">
      <text>
        <r>
          <rPr>
            <b/>
            <sz val="9"/>
            <color indexed="81"/>
            <rFont val="Tahoma"/>
            <family val="2"/>
          </rPr>
          <t>REGALÍAS</t>
        </r>
      </text>
    </comment>
    <comment ref="AE147" authorId="3" shapeId="0" xr:uid="{00000000-0006-0000-0000-00000B020000}">
      <text>
        <r>
          <rPr>
            <b/>
            <sz val="9"/>
            <color indexed="81"/>
            <rFont val="Tahoma"/>
            <family val="2"/>
          </rPr>
          <t>REGALÍAS</t>
        </r>
      </text>
    </comment>
    <comment ref="AF147" authorId="3" shapeId="0" xr:uid="{00000000-0006-0000-0000-00000C020000}">
      <text>
        <r>
          <rPr>
            <b/>
            <sz val="9"/>
            <color indexed="81"/>
            <rFont val="Tahoma"/>
            <family val="2"/>
          </rPr>
          <t>RECURSOS FUNCIONAMIENTO</t>
        </r>
      </text>
    </comment>
    <comment ref="AG147" authorId="3" shapeId="0" xr:uid="{00000000-0006-0000-0000-00000D020000}">
      <text>
        <r>
          <rPr>
            <b/>
            <sz val="9"/>
            <color indexed="81"/>
            <rFont val="Tahoma"/>
            <family val="2"/>
          </rPr>
          <t>RECURSOS FUNCIONAMIENTO</t>
        </r>
      </text>
    </comment>
    <comment ref="AH147" authorId="3" shapeId="0" xr:uid="{00000000-0006-0000-0000-00000E020000}">
      <text>
        <r>
          <rPr>
            <b/>
            <sz val="9"/>
            <color indexed="81"/>
            <rFont val="Tahoma"/>
            <family val="2"/>
          </rPr>
          <t>RECURSOS GESTIONADOS</t>
        </r>
      </text>
    </comment>
    <comment ref="AI147" authorId="3" shapeId="0" xr:uid="{00000000-0006-0000-0000-00000F020000}">
      <text>
        <r>
          <rPr>
            <b/>
            <sz val="9"/>
            <color indexed="81"/>
            <rFont val="Tahoma"/>
            <family val="2"/>
          </rPr>
          <t>RECURSOS GESTIONADOS</t>
        </r>
      </text>
    </comment>
    <comment ref="AJ147" authorId="3" shapeId="0" xr:uid="{00000000-0006-0000-0000-000010020000}">
      <text>
        <r>
          <rPr>
            <b/>
            <sz val="9"/>
            <color indexed="81"/>
            <rFont val="Tahoma"/>
            <family val="2"/>
          </rPr>
          <t>TOTALES</t>
        </r>
        <r>
          <rPr>
            <sz val="9"/>
            <color indexed="81"/>
            <rFont val="Tahoma"/>
            <family val="2"/>
          </rPr>
          <t xml:space="preserve">
</t>
        </r>
      </text>
    </comment>
    <comment ref="AK147" authorId="3" shapeId="0" xr:uid="{00000000-0006-0000-0000-000011020000}">
      <text>
        <r>
          <rPr>
            <b/>
            <sz val="9"/>
            <color indexed="81"/>
            <rFont val="Tahoma"/>
            <family val="2"/>
          </rPr>
          <t>TOTALES</t>
        </r>
        <r>
          <rPr>
            <sz val="9"/>
            <color indexed="81"/>
            <rFont val="Tahoma"/>
            <family val="2"/>
          </rPr>
          <t xml:space="preserve">
</t>
        </r>
      </text>
    </comment>
    <comment ref="AL147" authorId="2" shapeId="0" xr:uid="{00000000-0006-0000-0000-000012020000}">
      <text>
        <r>
          <rPr>
            <b/>
            <sz val="8"/>
            <color indexed="81"/>
            <rFont val="Tahoma"/>
            <family val="2"/>
          </rPr>
          <t>PRIMERA INFANCIA (0 a 5 años)</t>
        </r>
        <r>
          <rPr>
            <sz val="8"/>
            <color indexed="81"/>
            <rFont val="Tahoma"/>
            <family val="2"/>
          </rPr>
          <t xml:space="preserve">
</t>
        </r>
      </text>
    </comment>
    <comment ref="AM147" authorId="2" shapeId="0" xr:uid="{00000000-0006-0000-0000-000013020000}">
      <text>
        <r>
          <rPr>
            <b/>
            <sz val="8"/>
            <color indexed="81"/>
            <rFont val="Tahoma"/>
            <family val="2"/>
          </rPr>
          <t>INFANCIA (6 a 11 años)</t>
        </r>
        <r>
          <rPr>
            <sz val="8"/>
            <color indexed="81"/>
            <rFont val="Tahoma"/>
            <family val="2"/>
          </rPr>
          <t xml:space="preserve">
</t>
        </r>
      </text>
    </comment>
    <comment ref="AN147" authorId="2" shapeId="0" xr:uid="{00000000-0006-0000-0000-000014020000}">
      <text>
        <r>
          <rPr>
            <b/>
            <sz val="8"/>
            <color indexed="81"/>
            <rFont val="Tahoma"/>
            <family val="2"/>
          </rPr>
          <t>ADOLESCENCIA (12 A 17 años)</t>
        </r>
      </text>
    </comment>
    <comment ref="AO147" authorId="2" shapeId="0" xr:uid="{00000000-0006-0000-0000-000015020000}">
      <text>
        <r>
          <rPr>
            <b/>
            <sz val="8"/>
            <color indexed="81"/>
            <rFont val="Tahoma"/>
            <family val="2"/>
          </rPr>
          <t>JUVENTUD (18 a 28 años)</t>
        </r>
        <r>
          <rPr>
            <sz val="8"/>
            <color indexed="81"/>
            <rFont val="Tahoma"/>
            <family val="2"/>
          </rPr>
          <t xml:space="preserve">
</t>
        </r>
      </text>
    </comment>
    <comment ref="AP147" authorId="2" shapeId="0" xr:uid="{00000000-0006-0000-0000-00001602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17020000}">
      <text>
        <r>
          <rPr>
            <b/>
            <sz val="8"/>
            <color indexed="81"/>
            <rFont val="Tahoma"/>
            <family val="2"/>
          </rPr>
          <t>ADULTO MAYOR  (61 años en adelante)</t>
        </r>
        <r>
          <rPr>
            <sz val="8"/>
            <color indexed="81"/>
            <rFont val="Tahoma"/>
            <family val="2"/>
          </rPr>
          <t xml:space="preserve">
</t>
        </r>
      </text>
    </comment>
    <comment ref="AS147" authorId="2" shapeId="0" xr:uid="{00000000-0006-0000-0000-000018020000}">
      <text>
        <r>
          <rPr>
            <b/>
            <sz val="8"/>
            <color indexed="81"/>
            <rFont val="Tahoma"/>
            <family val="2"/>
          </rPr>
          <t>MUJERES</t>
        </r>
        <r>
          <rPr>
            <sz val="8"/>
            <color indexed="81"/>
            <rFont val="Tahoma"/>
            <family val="2"/>
          </rPr>
          <t xml:space="preserve">
</t>
        </r>
      </text>
    </comment>
    <comment ref="AT147" authorId="2" shapeId="0" xr:uid="{00000000-0006-0000-0000-000019020000}">
      <text>
        <r>
          <rPr>
            <b/>
            <sz val="8"/>
            <color indexed="81"/>
            <rFont val="Tahoma"/>
            <family val="2"/>
          </rPr>
          <t>HOMBRES</t>
        </r>
      </text>
    </comment>
    <comment ref="AV147" authorId="2" shapeId="0" xr:uid="{00000000-0006-0000-0000-00001A020000}">
      <text>
        <r>
          <rPr>
            <b/>
            <sz val="8"/>
            <color indexed="81"/>
            <rFont val="Tahoma"/>
            <family val="2"/>
          </rPr>
          <t>VÍCTIMAS CONFLICTO ARMADO</t>
        </r>
        <r>
          <rPr>
            <sz val="8"/>
            <color indexed="81"/>
            <rFont val="Tahoma"/>
            <family val="2"/>
          </rPr>
          <t xml:space="preserve">
</t>
        </r>
      </text>
    </comment>
    <comment ref="AX147" authorId="2" shapeId="0" xr:uid="{00000000-0006-0000-0000-00001B020000}">
      <text>
        <r>
          <rPr>
            <b/>
            <sz val="8"/>
            <color indexed="81"/>
            <rFont val="Tahoma"/>
            <family val="2"/>
          </rPr>
          <t>DISCAPACITADOS</t>
        </r>
        <r>
          <rPr>
            <sz val="8"/>
            <color indexed="81"/>
            <rFont val="Tahoma"/>
            <family val="2"/>
          </rPr>
          <t xml:space="preserve">
</t>
        </r>
      </text>
    </comment>
    <comment ref="AY147" authorId="2" shapeId="0" xr:uid="{00000000-0006-0000-0000-00001C020000}">
      <text>
        <r>
          <rPr>
            <b/>
            <sz val="8"/>
            <color indexed="81"/>
            <rFont val="Tahoma"/>
            <family val="2"/>
          </rPr>
          <t>AFROCOLOMBIANO O RAIZAL</t>
        </r>
      </text>
    </comment>
    <comment ref="AZ147" authorId="2" shapeId="0" xr:uid="{00000000-0006-0000-0000-00001D020000}">
      <text>
        <r>
          <rPr>
            <b/>
            <sz val="8"/>
            <color indexed="81"/>
            <rFont val="Tahoma"/>
            <family val="2"/>
          </rPr>
          <t>INDÍGENAS</t>
        </r>
        <r>
          <rPr>
            <sz val="8"/>
            <color indexed="81"/>
            <rFont val="Tahoma"/>
            <family val="2"/>
          </rPr>
          <t xml:space="preserve">
</t>
        </r>
      </text>
    </comment>
    <comment ref="BA147" authorId="1" shapeId="0" xr:uid="{00000000-0006-0000-0000-00001E020000}">
      <text>
        <r>
          <rPr>
            <b/>
            <sz val="9"/>
            <color indexed="81"/>
            <rFont val="Tahoma"/>
            <family val="2"/>
          </rPr>
          <t>MEDIO DE EVIDENCIA. INFORME, RESGISTRO FOTOGRAFICO, PLANILLA, ETC</t>
        </r>
      </text>
    </comment>
    <comment ref="R156" authorId="3" shapeId="0" xr:uid="{00000000-0006-0000-0000-00001F020000}">
      <text>
        <r>
          <rPr>
            <b/>
            <sz val="9"/>
            <color indexed="81"/>
            <rFont val="Tahoma"/>
            <family val="2"/>
          </rPr>
          <t>COFINANCIACIÓN DEPARTAMENTO</t>
        </r>
        <r>
          <rPr>
            <sz val="9"/>
            <color indexed="81"/>
            <rFont val="Tahoma"/>
            <family val="2"/>
          </rPr>
          <t xml:space="preserve">
</t>
        </r>
      </text>
    </comment>
    <comment ref="S156" authorId="3" shapeId="0" xr:uid="{00000000-0006-0000-0000-000020020000}">
      <text>
        <r>
          <rPr>
            <b/>
            <sz val="9"/>
            <color indexed="81"/>
            <rFont val="Tahoma"/>
            <family val="2"/>
          </rPr>
          <t>COFINANCIACIÓN DEPARTAMENTO</t>
        </r>
        <r>
          <rPr>
            <sz val="9"/>
            <color indexed="81"/>
            <rFont val="Tahoma"/>
            <family val="2"/>
          </rPr>
          <t xml:space="preserve">
</t>
        </r>
      </text>
    </comment>
    <comment ref="T156" authorId="3" shapeId="0" xr:uid="{00000000-0006-0000-0000-000021020000}">
      <text>
        <r>
          <rPr>
            <b/>
            <sz val="9"/>
            <color indexed="81"/>
            <rFont val="Tahoma"/>
            <family val="2"/>
          </rPr>
          <t>COFINACIACIÓN NACIÓN</t>
        </r>
      </text>
    </comment>
    <comment ref="U156" authorId="3" shapeId="0" xr:uid="{00000000-0006-0000-0000-000022020000}">
      <text>
        <r>
          <rPr>
            <b/>
            <sz val="9"/>
            <color indexed="81"/>
            <rFont val="Tahoma"/>
            <family val="2"/>
          </rPr>
          <t>COFINACIACIÓN NACIÓN</t>
        </r>
      </text>
    </comment>
    <comment ref="V156" authorId="3" shapeId="0" xr:uid="{00000000-0006-0000-0000-000023020000}">
      <text>
        <r>
          <rPr>
            <b/>
            <sz val="9"/>
            <color indexed="81"/>
            <rFont val="Tahoma"/>
            <family val="2"/>
          </rPr>
          <t>CRÉDITO</t>
        </r>
      </text>
    </comment>
    <comment ref="W156" authorId="3" shapeId="0" xr:uid="{00000000-0006-0000-0000-000024020000}">
      <text>
        <r>
          <rPr>
            <b/>
            <sz val="9"/>
            <color indexed="81"/>
            <rFont val="Tahoma"/>
            <family val="2"/>
          </rPr>
          <t>CRÉDITO</t>
        </r>
      </text>
    </comment>
    <comment ref="X156" authorId="3" shapeId="0" xr:uid="{00000000-0006-0000-0000-000025020000}">
      <text>
        <r>
          <rPr>
            <b/>
            <sz val="9"/>
            <color indexed="81"/>
            <rFont val="Tahoma"/>
            <family val="2"/>
          </rPr>
          <t>OTROS</t>
        </r>
      </text>
    </comment>
    <comment ref="Y156" authorId="3" shapeId="0" xr:uid="{00000000-0006-0000-0000-000026020000}">
      <text>
        <r>
          <rPr>
            <b/>
            <sz val="9"/>
            <color indexed="81"/>
            <rFont val="Tahoma"/>
            <family val="2"/>
          </rPr>
          <t>OTROS</t>
        </r>
      </text>
    </comment>
    <comment ref="Z156" authorId="3" shapeId="0" xr:uid="{00000000-0006-0000-0000-000027020000}">
      <text>
        <r>
          <rPr>
            <b/>
            <sz val="9"/>
            <color indexed="81"/>
            <rFont val="Tahoma"/>
            <family val="2"/>
          </rPr>
          <t>RECURSOS PROPIOS</t>
        </r>
      </text>
    </comment>
    <comment ref="AA156" authorId="3" shapeId="0" xr:uid="{00000000-0006-0000-0000-000028020000}">
      <text>
        <r>
          <rPr>
            <b/>
            <sz val="9"/>
            <color indexed="81"/>
            <rFont val="Tahoma"/>
            <family val="2"/>
          </rPr>
          <t>RECURSOS PROPIOS</t>
        </r>
      </text>
    </comment>
    <comment ref="AB156" authorId="3" shapeId="0" xr:uid="{00000000-0006-0000-0000-000029020000}">
      <text>
        <r>
          <rPr>
            <b/>
            <sz val="9"/>
            <color indexed="81"/>
            <rFont val="Tahoma"/>
            <family val="2"/>
          </rPr>
          <t>SGP</t>
        </r>
      </text>
    </comment>
    <comment ref="AC156" authorId="3" shapeId="0" xr:uid="{00000000-0006-0000-0000-00002A020000}">
      <text>
        <r>
          <rPr>
            <b/>
            <sz val="9"/>
            <color indexed="81"/>
            <rFont val="Tahoma"/>
            <family val="2"/>
          </rPr>
          <t>SGP</t>
        </r>
      </text>
    </comment>
    <comment ref="AD156" authorId="3" shapeId="0" xr:uid="{00000000-0006-0000-0000-00002B020000}">
      <text>
        <r>
          <rPr>
            <b/>
            <sz val="9"/>
            <color indexed="81"/>
            <rFont val="Tahoma"/>
            <family val="2"/>
          </rPr>
          <t>REGALÍAS</t>
        </r>
      </text>
    </comment>
    <comment ref="AE156" authorId="3" shapeId="0" xr:uid="{00000000-0006-0000-0000-00002C020000}">
      <text>
        <r>
          <rPr>
            <b/>
            <sz val="9"/>
            <color indexed="81"/>
            <rFont val="Tahoma"/>
            <family val="2"/>
          </rPr>
          <t>REGALÍAS</t>
        </r>
      </text>
    </comment>
    <comment ref="AF156" authorId="3" shapeId="0" xr:uid="{00000000-0006-0000-0000-00002D020000}">
      <text>
        <r>
          <rPr>
            <b/>
            <sz val="9"/>
            <color indexed="81"/>
            <rFont val="Tahoma"/>
            <family val="2"/>
          </rPr>
          <t>RECURSOS FUNCIONAMIENTO</t>
        </r>
      </text>
    </comment>
    <comment ref="AG156" authorId="3" shapeId="0" xr:uid="{00000000-0006-0000-0000-00002E020000}">
      <text>
        <r>
          <rPr>
            <b/>
            <sz val="9"/>
            <color indexed="81"/>
            <rFont val="Tahoma"/>
            <family val="2"/>
          </rPr>
          <t>RECURSOS FUNCIONAMIENTO</t>
        </r>
      </text>
    </comment>
    <comment ref="AH156" authorId="3" shapeId="0" xr:uid="{00000000-0006-0000-0000-00002F020000}">
      <text>
        <r>
          <rPr>
            <b/>
            <sz val="9"/>
            <color indexed="81"/>
            <rFont val="Tahoma"/>
            <family val="2"/>
          </rPr>
          <t>RECURSOS GESTIONADOS</t>
        </r>
      </text>
    </comment>
    <comment ref="AI156" authorId="3" shapeId="0" xr:uid="{00000000-0006-0000-0000-000030020000}">
      <text>
        <r>
          <rPr>
            <b/>
            <sz val="9"/>
            <color indexed="81"/>
            <rFont val="Tahoma"/>
            <family val="2"/>
          </rPr>
          <t>RECURSOS GESTIONADOS</t>
        </r>
      </text>
    </comment>
    <comment ref="AJ156" authorId="3" shapeId="0" xr:uid="{00000000-0006-0000-0000-000031020000}">
      <text>
        <r>
          <rPr>
            <b/>
            <sz val="9"/>
            <color indexed="81"/>
            <rFont val="Tahoma"/>
            <family val="2"/>
          </rPr>
          <t>TOTALES</t>
        </r>
        <r>
          <rPr>
            <sz val="9"/>
            <color indexed="81"/>
            <rFont val="Tahoma"/>
            <family val="2"/>
          </rPr>
          <t xml:space="preserve">
</t>
        </r>
      </text>
    </comment>
    <comment ref="AK156" authorId="3" shapeId="0" xr:uid="{00000000-0006-0000-0000-000032020000}">
      <text>
        <r>
          <rPr>
            <b/>
            <sz val="9"/>
            <color indexed="81"/>
            <rFont val="Tahoma"/>
            <family val="2"/>
          </rPr>
          <t>TOTALES</t>
        </r>
        <r>
          <rPr>
            <sz val="9"/>
            <color indexed="81"/>
            <rFont val="Tahoma"/>
            <family val="2"/>
          </rPr>
          <t xml:space="preserve">
</t>
        </r>
      </text>
    </comment>
    <comment ref="AL156" authorId="2" shapeId="0" xr:uid="{00000000-0006-0000-0000-000033020000}">
      <text>
        <r>
          <rPr>
            <b/>
            <sz val="8"/>
            <color indexed="81"/>
            <rFont val="Tahoma"/>
            <family val="2"/>
          </rPr>
          <t>PRIMERA INFANCIA (0 a 5 años)</t>
        </r>
        <r>
          <rPr>
            <sz val="8"/>
            <color indexed="81"/>
            <rFont val="Tahoma"/>
            <family val="2"/>
          </rPr>
          <t xml:space="preserve">
</t>
        </r>
      </text>
    </comment>
    <comment ref="AM156" authorId="2" shapeId="0" xr:uid="{00000000-0006-0000-0000-000034020000}">
      <text>
        <r>
          <rPr>
            <b/>
            <sz val="8"/>
            <color indexed="81"/>
            <rFont val="Tahoma"/>
            <family val="2"/>
          </rPr>
          <t>INFANCIA (6 a 11 años)</t>
        </r>
        <r>
          <rPr>
            <sz val="8"/>
            <color indexed="81"/>
            <rFont val="Tahoma"/>
            <family val="2"/>
          </rPr>
          <t xml:space="preserve">
</t>
        </r>
      </text>
    </comment>
    <comment ref="AN156" authorId="2" shapeId="0" xr:uid="{00000000-0006-0000-0000-000035020000}">
      <text>
        <r>
          <rPr>
            <b/>
            <sz val="8"/>
            <color indexed="81"/>
            <rFont val="Tahoma"/>
            <family val="2"/>
          </rPr>
          <t>ADOLESCENCIA (12 A 17 años)</t>
        </r>
      </text>
    </comment>
    <comment ref="AO156" authorId="2" shapeId="0" xr:uid="{00000000-0006-0000-0000-000036020000}">
      <text>
        <r>
          <rPr>
            <b/>
            <sz val="8"/>
            <color indexed="81"/>
            <rFont val="Tahoma"/>
            <family val="2"/>
          </rPr>
          <t>JUVENTUD (18 a 28 años)</t>
        </r>
        <r>
          <rPr>
            <sz val="8"/>
            <color indexed="81"/>
            <rFont val="Tahoma"/>
            <family val="2"/>
          </rPr>
          <t xml:space="preserve">
</t>
        </r>
      </text>
    </comment>
    <comment ref="AP156" authorId="2" shapeId="0" xr:uid="{00000000-0006-0000-0000-00003702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38020000}">
      <text>
        <r>
          <rPr>
            <b/>
            <sz val="8"/>
            <color indexed="81"/>
            <rFont val="Tahoma"/>
            <family val="2"/>
          </rPr>
          <t>ADULTO MAYOR  (61 años en adelante)</t>
        </r>
        <r>
          <rPr>
            <sz val="8"/>
            <color indexed="81"/>
            <rFont val="Tahoma"/>
            <family val="2"/>
          </rPr>
          <t xml:space="preserve">
</t>
        </r>
      </text>
    </comment>
    <comment ref="AS156" authorId="2" shapeId="0" xr:uid="{00000000-0006-0000-0000-000039020000}">
      <text>
        <r>
          <rPr>
            <b/>
            <sz val="8"/>
            <color indexed="81"/>
            <rFont val="Tahoma"/>
            <family val="2"/>
          </rPr>
          <t>MUJERES</t>
        </r>
        <r>
          <rPr>
            <sz val="8"/>
            <color indexed="81"/>
            <rFont val="Tahoma"/>
            <family val="2"/>
          </rPr>
          <t xml:space="preserve">
</t>
        </r>
      </text>
    </comment>
    <comment ref="AT156" authorId="2" shapeId="0" xr:uid="{00000000-0006-0000-0000-00003A020000}">
      <text>
        <r>
          <rPr>
            <b/>
            <sz val="8"/>
            <color indexed="81"/>
            <rFont val="Tahoma"/>
            <family val="2"/>
          </rPr>
          <t>HOMBRES</t>
        </r>
      </text>
    </comment>
    <comment ref="AV156" authorId="2" shapeId="0" xr:uid="{00000000-0006-0000-0000-00003B020000}">
      <text>
        <r>
          <rPr>
            <b/>
            <sz val="8"/>
            <color indexed="81"/>
            <rFont val="Tahoma"/>
            <family val="2"/>
          </rPr>
          <t>VÍCTIMAS CONFLICTO ARMADO</t>
        </r>
        <r>
          <rPr>
            <sz val="8"/>
            <color indexed="81"/>
            <rFont val="Tahoma"/>
            <family val="2"/>
          </rPr>
          <t xml:space="preserve">
</t>
        </r>
      </text>
    </comment>
    <comment ref="AX156" authorId="2" shapeId="0" xr:uid="{00000000-0006-0000-0000-00003C020000}">
      <text>
        <r>
          <rPr>
            <b/>
            <sz val="8"/>
            <color indexed="81"/>
            <rFont val="Tahoma"/>
            <family val="2"/>
          </rPr>
          <t>DISCAPACITADOS</t>
        </r>
        <r>
          <rPr>
            <sz val="8"/>
            <color indexed="81"/>
            <rFont val="Tahoma"/>
            <family val="2"/>
          </rPr>
          <t xml:space="preserve">
</t>
        </r>
      </text>
    </comment>
    <comment ref="AY156" authorId="2" shapeId="0" xr:uid="{00000000-0006-0000-0000-00003D020000}">
      <text>
        <r>
          <rPr>
            <b/>
            <sz val="8"/>
            <color indexed="81"/>
            <rFont val="Tahoma"/>
            <family val="2"/>
          </rPr>
          <t>AFROCOLOMBIANO O RAIZAL</t>
        </r>
      </text>
    </comment>
    <comment ref="AZ156" authorId="2" shapeId="0" xr:uid="{00000000-0006-0000-0000-00003E020000}">
      <text>
        <r>
          <rPr>
            <b/>
            <sz val="8"/>
            <color indexed="81"/>
            <rFont val="Tahoma"/>
            <family val="2"/>
          </rPr>
          <t>INDÍGENAS</t>
        </r>
        <r>
          <rPr>
            <sz val="8"/>
            <color indexed="81"/>
            <rFont val="Tahoma"/>
            <family val="2"/>
          </rPr>
          <t xml:space="preserve">
</t>
        </r>
      </text>
    </comment>
    <comment ref="BA156" authorId="1" shapeId="0" xr:uid="{00000000-0006-0000-0000-00003F020000}">
      <text>
        <r>
          <rPr>
            <b/>
            <sz val="9"/>
            <color indexed="81"/>
            <rFont val="Tahoma"/>
            <family val="2"/>
          </rPr>
          <t>MEDIO DE EVIDENCIA. INFORME, RESGISTRO FOTOGRAFICO, PLANILLA, ETC</t>
        </r>
      </text>
    </comment>
    <comment ref="R165" authorId="3" shapeId="0" xr:uid="{00000000-0006-0000-0000-000040020000}">
      <text>
        <r>
          <rPr>
            <b/>
            <sz val="9"/>
            <color indexed="81"/>
            <rFont val="Tahoma"/>
            <family val="2"/>
          </rPr>
          <t>COFINANCIACIÓN DEPARTAMENTO</t>
        </r>
        <r>
          <rPr>
            <sz val="9"/>
            <color indexed="81"/>
            <rFont val="Tahoma"/>
            <family val="2"/>
          </rPr>
          <t xml:space="preserve">
</t>
        </r>
      </text>
    </comment>
    <comment ref="S165" authorId="3" shapeId="0" xr:uid="{00000000-0006-0000-0000-000041020000}">
      <text>
        <r>
          <rPr>
            <b/>
            <sz val="9"/>
            <color indexed="81"/>
            <rFont val="Tahoma"/>
            <family val="2"/>
          </rPr>
          <t>COFINANCIACIÓN DEPARTAMENTO</t>
        </r>
        <r>
          <rPr>
            <sz val="9"/>
            <color indexed="81"/>
            <rFont val="Tahoma"/>
            <family val="2"/>
          </rPr>
          <t xml:space="preserve">
</t>
        </r>
      </text>
    </comment>
    <comment ref="T165" authorId="3" shapeId="0" xr:uid="{00000000-0006-0000-0000-000042020000}">
      <text>
        <r>
          <rPr>
            <b/>
            <sz val="9"/>
            <color indexed="81"/>
            <rFont val="Tahoma"/>
            <family val="2"/>
          </rPr>
          <t>COFINACIACIÓN NACIÓN</t>
        </r>
      </text>
    </comment>
    <comment ref="U165" authorId="3" shapeId="0" xr:uid="{00000000-0006-0000-0000-000043020000}">
      <text>
        <r>
          <rPr>
            <b/>
            <sz val="9"/>
            <color indexed="81"/>
            <rFont val="Tahoma"/>
            <family val="2"/>
          </rPr>
          <t>COFINACIACIÓN NACIÓN</t>
        </r>
      </text>
    </comment>
    <comment ref="V165" authorId="3" shapeId="0" xr:uid="{00000000-0006-0000-0000-000044020000}">
      <text>
        <r>
          <rPr>
            <b/>
            <sz val="9"/>
            <color indexed="81"/>
            <rFont val="Tahoma"/>
            <family val="2"/>
          </rPr>
          <t>CRÉDITO</t>
        </r>
      </text>
    </comment>
    <comment ref="W165" authorId="3" shapeId="0" xr:uid="{00000000-0006-0000-0000-000045020000}">
      <text>
        <r>
          <rPr>
            <b/>
            <sz val="9"/>
            <color indexed="81"/>
            <rFont val="Tahoma"/>
            <family val="2"/>
          </rPr>
          <t>CRÉDITO</t>
        </r>
      </text>
    </comment>
    <comment ref="X165" authorId="3" shapeId="0" xr:uid="{00000000-0006-0000-0000-000046020000}">
      <text>
        <r>
          <rPr>
            <b/>
            <sz val="9"/>
            <color indexed="81"/>
            <rFont val="Tahoma"/>
            <family val="2"/>
          </rPr>
          <t>OTROS</t>
        </r>
      </text>
    </comment>
    <comment ref="Y165" authorId="3" shapeId="0" xr:uid="{00000000-0006-0000-0000-000047020000}">
      <text>
        <r>
          <rPr>
            <b/>
            <sz val="9"/>
            <color indexed="81"/>
            <rFont val="Tahoma"/>
            <family val="2"/>
          </rPr>
          <t>OTROS</t>
        </r>
      </text>
    </comment>
    <comment ref="Z165" authorId="3" shapeId="0" xr:uid="{00000000-0006-0000-0000-000048020000}">
      <text>
        <r>
          <rPr>
            <b/>
            <sz val="9"/>
            <color indexed="81"/>
            <rFont val="Tahoma"/>
            <family val="2"/>
          </rPr>
          <t>RECURSOS PROPIOS</t>
        </r>
      </text>
    </comment>
    <comment ref="AA165" authorId="3" shapeId="0" xr:uid="{00000000-0006-0000-0000-000049020000}">
      <text>
        <r>
          <rPr>
            <b/>
            <sz val="9"/>
            <color indexed="81"/>
            <rFont val="Tahoma"/>
            <family val="2"/>
          </rPr>
          <t>RECURSOS PROPIOS</t>
        </r>
      </text>
    </comment>
    <comment ref="AB165" authorId="3" shapeId="0" xr:uid="{00000000-0006-0000-0000-00004A020000}">
      <text>
        <r>
          <rPr>
            <b/>
            <sz val="9"/>
            <color indexed="81"/>
            <rFont val="Tahoma"/>
            <family val="2"/>
          </rPr>
          <t>SGP</t>
        </r>
      </text>
    </comment>
    <comment ref="AC165" authorId="3" shapeId="0" xr:uid="{00000000-0006-0000-0000-00004B020000}">
      <text>
        <r>
          <rPr>
            <b/>
            <sz val="9"/>
            <color indexed="81"/>
            <rFont val="Tahoma"/>
            <family val="2"/>
          </rPr>
          <t>SGP</t>
        </r>
      </text>
    </comment>
    <comment ref="AD165" authorId="3" shapeId="0" xr:uid="{00000000-0006-0000-0000-00004C020000}">
      <text>
        <r>
          <rPr>
            <b/>
            <sz val="9"/>
            <color indexed="81"/>
            <rFont val="Tahoma"/>
            <family val="2"/>
          </rPr>
          <t>REGALÍAS</t>
        </r>
      </text>
    </comment>
    <comment ref="AE165" authorId="3" shapeId="0" xr:uid="{00000000-0006-0000-0000-00004D020000}">
      <text>
        <r>
          <rPr>
            <b/>
            <sz val="9"/>
            <color indexed="81"/>
            <rFont val="Tahoma"/>
            <family val="2"/>
          </rPr>
          <t>REGALÍAS</t>
        </r>
      </text>
    </comment>
    <comment ref="AF165" authorId="3" shapeId="0" xr:uid="{00000000-0006-0000-0000-00004E020000}">
      <text>
        <r>
          <rPr>
            <b/>
            <sz val="9"/>
            <color indexed="81"/>
            <rFont val="Tahoma"/>
            <family val="2"/>
          </rPr>
          <t>RECURSOS FUNCIONAMIENTO</t>
        </r>
      </text>
    </comment>
    <comment ref="AG165" authorId="3" shapeId="0" xr:uid="{00000000-0006-0000-0000-00004F020000}">
      <text>
        <r>
          <rPr>
            <b/>
            <sz val="9"/>
            <color indexed="81"/>
            <rFont val="Tahoma"/>
            <family val="2"/>
          </rPr>
          <t>RECURSOS FUNCIONAMIENTO</t>
        </r>
      </text>
    </comment>
    <comment ref="AH165" authorId="3" shapeId="0" xr:uid="{00000000-0006-0000-0000-000050020000}">
      <text>
        <r>
          <rPr>
            <b/>
            <sz val="9"/>
            <color indexed="81"/>
            <rFont val="Tahoma"/>
            <family val="2"/>
          </rPr>
          <t>RECURSOS GESTIONADOS</t>
        </r>
      </text>
    </comment>
    <comment ref="AI165" authorId="3" shapeId="0" xr:uid="{00000000-0006-0000-0000-000051020000}">
      <text>
        <r>
          <rPr>
            <b/>
            <sz val="9"/>
            <color indexed="81"/>
            <rFont val="Tahoma"/>
            <family val="2"/>
          </rPr>
          <t>RECURSOS GESTIONADOS</t>
        </r>
      </text>
    </comment>
    <comment ref="AJ165" authorId="3" shapeId="0" xr:uid="{00000000-0006-0000-0000-000052020000}">
      <text>
        <r>
          <rPr>
            <b/>
            <sz val="9"/>
            <color indexed="81"/>
            <rFont val="Tahoma"/>
            <family val="2"/>
          </rPr>
          <t>TOTALES</t>
        </r>
        <r>
          <rPr>
            <sz val="9"/>
            <color indexed="81"/>
            <rFont val="Tahoma"/>
            <family val="2"/>
          </rPr>
          <t xml:space="preserve">
</t>
        </r>
      </text>
    </comment>
    <comment ref="AK165" authorId="3" shapeId="0" xr:uid="{00000000-0006-0000-0000-000053020000}">
      <text>
        <r>
          <rPr>
            <b/>
            <sz val="9"/>
            <color indexed="81"/>
            <rFont val="Tahoma"/>
            <family val="2"/>
          </rPr>
          <t>TOTALES</t>
        </r>
        <r>
          <rPr>
            <sz val="9"/>
            <color indexed="81"/>
            <rFont val="Tahoma"/>
            <family val="2"/>
          </rPr>
          <t xml:space="preserve">
</t>
        </r>
      </text>
    </comment>
    <comment ref="AL165" authorId="2" shapeId="0" xr:uid="{00000000-0006-0000-0000-000054020000}">
      <text>
        <r>
          <rPr>
            <b/>
            <sz val="8"/>
            <color indexed="81"/>
            <rFont val="Tahoma"/>
            <family val="2"/>
          </rPr>
          <t>PRIMERA INFANCIA (0 a 5 años)</t>
        </r>
        <r>
          <rPr>
            <sz val="8"/>
            <color indexed="81"/>
            <rFont val="Tahoma"/>
            <family val="2"/>
          </rPr>
          <t xml:space="preserve">
</t>
        </r>
      </text>
    </comment>
    <comment ref="AM165" authorId="2" shapeId="0" xr:uid="{00000000-0006-0000-0000-000055020000}">
      <text>
        <r>
          <rPr>
            <b/>
            <sz val="8"/>
            <color indexed="81"/>
            <rFont val="Tahoma"/>
            <family val="2"/>
          </rPr>
          <t>INFANCIA (6 a 11 años)</t>
        </r>
        <r>
          <rPr>
            <sz val="8"/>
            <color indexed="81"/>
            <rFont val="Tahoma"/>
            <family val="2"/>
          </rPr>
          <t xml:space="preserve">
</t>
        </r>
      </text>
    </comment>
    <comment ref="AN165" authorId="2" shapeId="0" xr:uid="{00000000-0006-0000-0000-000056020000}">
      <text>
        <r>
          <rPr>
            <b/>
            <sz val="8"/>
            <color indexed="81"/>
            <rFont val="Tahoma"/>
            <family val="2"/>
          </rPr>
          <t>ADOLESCENCIA (12 A 17 años)</t>
        </r>
      </text>
    </comment>
    <comment ref="AO165" authorId="2" shapeId="0" xr:uid="{00000000-0006-0000-0000-000057020000}">
      <text>
        <r>
          <rPr>
            <b/>
            <sz val="8"/>
            <color indexed="81"/>
            <rFont val="Tahoma"/>
            <family val="2"/>
          </rPr>
          <t>JUVENTUD (18 a 28 años)</t>
        </r>
        <r>
          <rPr>
            <sz val="8"/>
            <color indexed="81"/>
            <rFont val="Tahoma"/>
            <family val="2"/>
          </rPr>
          <t xml:space="preserve">
</t>
        </r>
      </text>
    </comment>
    <comment ref="AP165" authorId="2" shapeId="0" xr:uid="{00000000-0006-0000-0000-00005802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59020000}">
      <text>
        <r>
          <rPr>
            <b/>
            <sz val="8"/>
            <color indexed="81"/>
            <rFont val="Tahoma"/>
            <family val="2"/>
          </rPr>
          <t>ADULTO MAYOR  (61 años en adelante)</t>
        </r>
        <r>
          <rPr>
            <sz val="8"/>
            <color indexed="81"/>
            <rFont val="Tahoma"/>
            <family val="2"/>
          </rPr>
          <t xml:space="preserve">
</t>
        </r>
      </text>
    </comment>
    <comment ref="AS165" authorId="2" shapeId="0" xr:uid="{00000000-0006-0000-0000-00005A020000}">
      <text>
        <r>
          <rPr>
            <b/>
            <sz val="8"/>
            <color indexed="81"/>
            <rFont val="Tahoma"/>
            <family val="2"/>
          </rPr>
          <t>MUJERES</t>
        </r>
        <r>
          <rPr>
            <sz val="8"/>
            <color indexed="81"/>
            <rFont val="Tahoma"/>
            <family val="2"/>
          </rPr>
          <t xml:space="preserve">
</t>
        </r>
      </text>
    </comment>
    <comment ref="AT165" authorId="2" shapeId="0" xr:uid="{00000000-0006-0000-0000-00005B020000}">
      <text>
        <r>
          <rPr>
            <b/>
            <sz val="8"/>
            <color indexed="81"/>
            <rFont val="Tahoma"/>
            <family val="2"/>
          </rPr>
          <t>HOMBRES</t>
        </r>
      </text>
    </comment>
    <comment ref="AV165" authorId="2" shapeId="0" xr:uid="{00000000-0006-0000-0000-00005C020000}">
      <text>
        <r>
          <rPr>
            <b/>
            <sz val="8"/>
            <color indexed="81"/>
            <rFont val="Tahoma"/>
            <family val="2"/>
          </rPr>
          <t>VÍCTIMAS CONFLICTO ARMADO</t>
        </r>
        <r>
          <rPr>
            <sz val="8"/>
            <color indexed="81"/>
            <rFont val="Tahoma"/>
            <family val="2"/>
          </rPr>
          <t xml:space="preserve">
</t>
        </r>
      </text>
    </comment>
    <comment ref="AX165" authorId="2" shapeId="0" xr:uid="{00000000-0006-0000-0000-00005D020000}">
      <text>
        <r>
          <rPr>
            <b/>
            <sz val="8"/>
            <color indexed="81"/>
            <rFont val="Tahoma"/>
            <family val="2"/>
          </rPr>
          <t>DISCAPACITADOS</t>
        </r>
        <r>
          <rPr>
            <sz val="8"/>
            <color indexed="81"/>
            <rFont val="Tahoma"/>
            <family val="2"/>
          </rPr>
          <t xml:space="preserve">
</t>
        </r>
      </text>
    </comment>
    <comment ref="AY165" authorId="2" shapeId="0" xr:uid="{00000000-0006-0000-0000-00005E020000}">
      <text>
        <r>
          <rPr>
            <b/>
            <sz val="8"/>
            <color indexed="81"/>
            <rFont val="Tahoma"/>
            <family val="2"/>
          </rPr>
          <t>AFROCOLOMBIANO O RAIZAL</t>
        </r>
      </text>
    </comment>
    <comment ref="AZ165" authorId="2" shapeId="0" xr:uid="{00000000-0006-0000-0000-00005F020000}">
      <text>
        <r>
          <rPr>
            <b/>
            <sz val="8"/>
            <color indexed="81"/>
            <rFont val="Tahoma"/>
            <family val="2"/>
          </rPr>
          <t>INDÍGENAS</t>
        </r>
        <r>
          <rPr>
            <sz val="8"/>
            <color indexed="81"/>
            <rFont val="Tahoma"/>
            <family val="2"/>
          </rPr>
          <t xml:space="preserve">
</t>
        </r>
      </text>
    </comment>
    <comment ref="BA165" authorId="1" shapeId="0" xr:uid="{00000000-0006-0000-0000-000060020000}">
      <text>
        <r>
          <rPr>
            <b/>
            <sz val="9"/>
            <color indexed="81"/>
            <rFont val="Tahoma"/>
            <family val="2"/>
          </rPr>
          <t>MEDIO DE EVIDENCIA. INFORME, RESGISTRO FOTOGRAFICO, PLANILLA, ETC</t>
        </r>
      </text>
    </comment>
    <comment ref="R174" authorId="3" shapeId="0" xr:uid="{00000000-0006-0000-0000-000061020000}">
      <text>
        <r>
          <rPr>
            <b/>
            <sz val="9"/>
            <color indexed="81"/>
            <rFont val="Tahoma"/>
            <family val="2"/>
          </rPr>
          <t>COFINANCIACIÓN DEPARTAMENTO</t>
        </r>
        <r>
          <rPr>
            <sz val="9"/>
            <color indexed="81"/>
            <rFont val="Tahoma"/>
            <family val="2"/>
          </rPr>
          <t xml:space="preserve">
</t>
        </r>
      </text>
    </comment>
    <comment ref="S174" authorId="3" shapeId="0" xr:uid="{00000000-0006-0000-0000-000062020000}">
      <text>
        <r>
          <rPr>
            <b/>
            <sz val="9"/>
            <color indexed="81"/>
            <rFont val="Tahoma"/>
            <family val="2"/>
          </rPr>
          <t>COFINANCIACIÓN DEPARTAMENTO</t>
        </r>
        <r>
          <rPr>
            <sz val="9"/>
            <color indexed="81"/>
            <rFont val="Tahoma"/>
            <family val="2"/>
          </rPr>
          <t xml:space="preserve">
</t>
        </r>
      </text>
    </comment>
    <comment ref="T174" authorId="3" shapeId="0" xr:uid="{00000000-0006-0000-0000-000063020000}">
      <text>
        <r>
          <rPr>
            <b/>
            <sz val="9"/>
            <color indexed="81"/>
            <rFont val="Tahoma"/>
            <family val="2"/>
          </rPr>
          <t>COFINACIACIÓN NACIÓN</t>
        </r>
      </text>
    </comment>
    <comment ref="U174" authorId="3" shapeId="0" xr:uid="{00000000-0006-0000-0000-000064020000}">
      <text>
        <r>
          <rPr>
            <b/>
            <sz val="9"/>
            <color indexed="81"/>
            <rFont val="Tahoma"/>
            <family val="2"/>
          </rPr>
          <t>COFINACIACIÓN NACIÓN</t>
        </r>
      </text>
    </comment>
    <comment ref="V174" authorId="3" shapeId="0" xr:uid="{00000000-0006-0000-0000-000065020000}">
      <text>
        <r>
          <rPr>
            <b/>
            <sz val="9"/>
            <color indexed="81"/>
            <rFont val="Tahoma"/>
            <family val="2"/>
          </rPr>
          <t>CRÉDITO</t>
        </r>
      </text>
    </comment>
    <comment ref="W174" authorId="3" shapeId="0" xr:uid="{00000000-0006-0000-0000-000066020000}">
      <text>
        <r>
          <rPr>
            <b/>
            <sz val="9"/>
            <color indexed="81"/>
            <rFont val="Tahoma"/>
            <family val="2"/>
          </rPr>
          <t>CRÉDITO</t>
        </r>
      </text>
    </comment>
    <comment ref="X174" authorId="3" shapeId="0" xr:uid="{00000000-0006-0000-0000-000067020000}">
      <text>
        <r>
          <rPr>
            <b/>
            <sz val="9"/>
            <color indexed="81"/>
            <rFont val="Tahoma"/>
            <family val="2"/>
          </rPr>
          <t>OTROS</t>
        </r>
      </text>
    </comment>
    <comment ref="Y174" authorId="3" shapeId="0" xr:uid="{00000000-0006-0000-0000-000068020000}">
      <text>
        <r>
          <rPr>
            <b/>
            <sz val="9"/>
            <color indexed="81"/>
            <rFont val="Tahoma"/>
            <family val="2"/>
          </rPr>
          <t>OTROS</t>
        </r>
      </text>
    </comment>
    <comment ref="Z174" authorId="3" shapeId="0" xr:uid="{00000000-0006-0000-0000-000069020000}">
      <text>
        <r>
          <rPr>
            <b/>
            <sz val="9"/>
            <color indexed="81"/>
            <rFont val="Tahoma"/>
            <family val="2"/>
          </rPr>
          <t>RECURSOS PROPIOS</t>
        </r>
      </text>
    </comment>
    <comment ref="AA174" authorId="3" shapeId="0" xr:uid="{00000000-0006-0000-0000-00006A020000}">
      <text>
        <r>
          <rPr>
            <b/>
            <sz val="9"/>
            <color indexed="81"/>
            <rFont val="Tahoma"/>
            <family val="2"/>
          </rPr>
          <t>RECURSOS PROPIOS</t>
        </r>
      </text>
    </comment>
    <comment ref="AB174" authorId="3" shapeId="0" xr:uid="{00000000-0006-0000-0000-00006B020000}">
      <text>
        <r>
          <rPr>
            <b/>
            <sz val="9"/>
            <color indexed="81"/>
            <rFont val="Tahoma"/>
            <family val="2"/>
          </rPr>
          <t>SGP</t>
        </r>
      </text>
    </comment>
    <comment ref="AC174" authorId="3" shapeId="0" xr:uid="{00000000-0006-0000-0000-00006C020000}">
      <text>
        <r>
          <rPr>
            <b/>
            <sz val="9"/>
            <color indexed="81"/>
            <rFont val="Tahoma"/>
            <family val="2"/>
          </rPr>
          <t>SGP</t>
        </r>
      </text>
    </comment>
    <comment ref="AD174" authorId="3" shapeId="0" xr:uid="{00000000-0006-0000-0000-00006D020000}">
      <text>
        <r>
          <rPr>
            <b/>
            <sz val="9"/>
            <color indexed="81"/>
            <rFont val="Tahoma"/>
            <family val="2"/>
          </rPr>
          <t>REGALÍAS</t>
        </r>
      </text>
    </comment>
    <comment ref="AE174" authorId="3" shapeId="0" xr:uid="{00000000-0006-0000-0000-00006E020000}">
      <text>
        <r>
          <rPr>
            <b/>
            <sz val="9"/>
            <color indexed="81"/>
            <rFont val="Tahoma"/>
            <family val="2"/>
          </rPr>
          <t>REGALÍAS</t>
        </r>
      </text>
    </comment>
    <comment ref="AF174" authorId="3" shapeId="0" xr:uid="{00000000-0006-0000-0000-00006F020000}">
      <text>
        <r>
          <rPr>
            <b/>
            <sz val="9"/>
            <color indexed="81"/>
            <rFont val="Tahoma"/>
            <family val="2"/>
          </rPr>
          <t>RECURSOS FUNCIONAMIENTO</t>
        </r>
      </text>
    </comment>
    <comment ref="AG174" authorId="3" shapeId="0" xr:uid="{00000000-0006-0000-0000-000070020000}">
      <text>
        <r>
          <rPr>
            <b/>
            <sz val="9"/>
            <color indexed="81"/>
            <rFont val="Tahoma"/>
            <family val="2"/>
          </rPr>
          <t>RECURSOS FUNCIONAMIENTO</t>
        </r>
      </text>
    </comment>
    <comment ref="AH174" authorId="3" shapeId="0" xr:uid="{00000000-0006-0000-0000-000071020000}">
      <text>
        <r>
          <rPr>
            <b/>
            <sz val="9"/>
            <color indexed="81"/>
            <rFont val="Tahoma"/>
            <family val="2"/>
          </rPr>
          <t>RECURSOS GESTIONADOS</t>
        </r>
      </text>
    </comment>
    <comment ref="AI174" authorId="3" shapeId="0" xr:uid="{00000000-0006-0000-0000-000072020000}">
      <text>
        <r>
          <rPr>
            <b/>
            <sz val="9"/>
            <color indexed="81"/>
            <rFont val="Tahoma"/>
            <family val="2"/>
          </rPr>
          <t>RECURSOS GESTIONADOS</t>
        </r>
      </text>
    </comment>
    <comment ref="AJ174" authorId="3" shapeId="0" xr:uid="{00000000-0006-0000-0000-000073020000}">
      <text>
        <r>
          <rPr>
            <b/>
            <sz val="9"/>
            <color indexed="81"/>
            <rFont val="Tahoma"/>
            <family val="2"/>
          </rPr>
          <t>TOTALES</t>
        </r>
        <r>
          <rPr>
            <sz val="9"/>
            <color indexed="81"/>
            <rFont val="Tahoma"/>
            <family val="2"/>
          </rPr>
          <t xml:space="preserve">
</t>
        </r>
      </text>
    </comment>
    <comment ref="AK174" authorId="3" shapeId="0" xr:uid="{00000000-0006-0000-0000-000074020000}">
      <text>
        <r>
          <rPr>
            <b/>
            <sz val="9"/>
            <color indexed="81"/>
            <rFont val="Tahoma"/>
            <family val="2"/>
          </rPr>
          <t>TOTALES</t>
        </r>
        <r>
          <rPr>
            <sz val="9"/>
            <color indexed="81"/>
            <rFont val="Tahoma"/>
            <family val="2"/>
          </rPr>
          <t xml:space="preserve">
</t>
        </r>
      </text>
    </comment>
    <comment ref="AL174" authorId="2" shapeId="0" xr:uid="{00000000-0006-0000-0000-000075020000}">
      <text>
        <r>
          <rPr>
            <b/>
            <sz val="8"/>
            <color indexed="81"/>
            <rFont val="Tahoma"/>
            <family val="2"/>
          </rPr>
          <t>PRIMERA INFANCIA (0 a 5 años)</t>
        </r>
        <r>
          <rPr>
            <sz val="8"/>
            <color indexed="81"/>
            <rFont val="Tahoma"/>
            <family val="2"/>
          </rPr>
          <t xml:space="preserve">
</t>
        </r>
      </text>
    </comment>
    <comment ref="AM174" authorId="2" shapeId="0" xr:uid="{00000000-0006-0000-0000-000076020000}">
      <text>
        <r>
          <rPr>
            <b/>
            <sz val="8"/>
            <color indexed="81"/>
            <rFont val="Tahoma"/>
            <family val="2"/>
          </rPr>
          <t>INFANCIA (6 a 11 años)</t>
        </r>
        <r>
          <rPr>
            <sz val="8"/>
            <color indexed="81"/>
            <rFont val="Tahoma"/>
            <family val="2"/>
          </rPr>
          <t xml:space="preserve">
</t>
        </r>
      </text>
    </comment>
    <comment ref="AN174" authorId="2" shapeId="0" xr:uid="{00000000-0006-0000-0000-000077020000}">
      <text>
        <r>
          <rPr>
            <b/>
            <sz val="8"/>
            <color indexed="81"/>
            <rFont val="Tahoma"/>
            <family val="2"/>
          </rPr>
          <t>ADOLESCENCIA (12 A 17 años)</t>
        </r>
      </text>
    </comment>
    <comment ref="AO174" authorId="2" shapeId="0" xr:uid="{00000000-0006-0000-0000-000078020000}">
      <text>
        <r>
          <rPr>
            <b/>
            <sz val="8"/>
            <color indexed="81"/>
            <rFont val="Tahoma"/>
            <family val="2"/>
          </rPr>
          <t>JUVENTUD (18 a 28 años)</t>
        </r>
        <r>
          <rPr>
            <sz val="8"/>
            <color indexed="81"/>
            <rFont val="Tahoma"/>
            <family val="2"/>
          </rPr>
          <t xml:space="preserve">
</t>
        </r>
      </text>
    </comment>
    <comment ref="AP174" authorId="2" shapeId="0" xr:uid="{00000000-0006-0000-0000-00007902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7A020000}">
      <text>
        <r>
          <rPr>
            <b/>
            <sz val="8"/>
            <color indexed="81"/>
            <rFont val="Tahoma"/>
            <family val="2"/>
          </rPr>
          <t>ADULTO MAYOR  (61 años en adelante)</t>
        </r>
        <r>
          <rPr>
            <sz val="8"/>
            <color indexed="81"/>
            <rFont val="Tahoma"/>
            <family val="2"/>
          </rPr>
          <t xml:space="preserve">
</t>
        </r>
      </text>
    </comment>
    <comment ref="AS174" authorId="2" shapeId="0" xr:uid="{00000000-0006-0000-0000-00007B020000}">
      <text>
        <r>
          <rPr>
            <b/>
            <sz val="8"/>
            <color indexed="81"/>
            <rFont val="Tahoma"/>
            <family val="2"/>
          </rPr>
          <t>MUJERES</t>
        </r>
        <r>
          <rPr>
            <sz val="8"/>
            <color indexed="81"/>
            <rFont val="Tahoma"/>
            <family val="2"/>
          </rPr>
          <t xml:space="preserve">
</t>
        </r>
      </text>
    </comment>
    <comment ref="AT174" authorId="2" shapeId="0" xr:uid="{00000000-0006-0000-0000-00007C020000}">
      <text>
        <r>
          <rPr>
            <b/>
            <sz val="8"/>
            <color indexed="81"/>
            <rFont val="Tahoma"/>
            <family val="2"/>
          </rPr>
          <t>HOMBRES</t>
        </r>
      </text>
    </comment>
    <comment ref="AV174" authorId="2" shapeId="0" xr:uid="{00000000-0006-0000-0000-00007D020000}">
      <text>
        <r>
          <rPr>
            <b/>
            <sz val="8"/>
            <color indexed="81"/>
            <rFont val="Tahoma"/>
            <family val="2"/>
          </rPr>
          <t>VÍCTIMAS CONFLICTO ARMADO</t>
        </r>
        <r>
          <rPr>
            <sz val="8"/>
            <color indexed="81"/>
            <rFont val="Tahoma"/>
            <family val="2"/>
          </rPr>
          <t xml:space="preserve">
</t>
        </r>
      </text>
    </comment>
    <comment ref="AX174" authorId="2" shapeId="0" xr:uid="{00000000-0006-0000-0000-00007E020000}">
      <text>
        <r>
          <rPr>
            <b/>
            <sz val="8"/>
            <color indexed="81"/>
            <rFont val="Tahoma"/>
            <family val="2"/>
          </rPr>
          <t>DISCAPACITADOS</t>
        </r>
        <r>
          <rPr>
            <sz val="8"/>
            <color indexed="81"/>
            <rFont val="Tahoma"/>
            <family val="2"/>
          </rPr>
          <t xml:space="preserve">
</t>
        </r>
      </text>
    </comment>
    <comment ref="AY174" authorId="2" shapeId="0" xr:uid="{00000000-0006-0000-0000-00007F020000}">
      <text>
        <r>
          <rPr>
            <b/>
            <sz val="8"/>
            <color indexed="81"/>
            <rFont val="Tahoma"/>
            <family val="2"/>
          </rPr>
          <t>AFROCOLOMBIANO O RAIZAL</t>
        </r>
      </text>
    </comment>
    <comment ref="AZ174" authorId="2" shapeId="0" xr:uid="{00000000-0006-0000-0000-000080020000}">
      <text>
        <r>
          <rPr>
            <b/>
            <sz val="8"/>
            <color indexed="81"/>
            <rFont val="Tahoma"/>
            <family val="2"/>
          </rPr>
          <t>INDÍGENAS</t>
        </r>
        <r>
          <rPr>
            <sz val="8"/>
            <color indexed="81"/>
            <rFont val="Tahoma"/>
            <family val="2"/>
          </rPr>
          <t xml:space="preserve">
</t>
        </r>
      </text>
    </comment>
    <comment ref="BA174" authorId="1" shapeId="0" xr:uid="{00000000-0006-0000-0000-000081020000}">
      <text>
        <r>
          <rPr>
            <b/>
            <sz val="9"/>
            <color indexed="81"/>
            <rFont val="Tahoma"/>
            <family val="2"/>
          </rPr>
          <t>MEDIO DE EVIDENCIA. INFORME, RESGISTRO FOTOGRAFICO, PLANILLA, ETC</t>
        </r>
      </text>
    </comment>
    <comment ref="R183" authorId="3" shapeId="0" xr:uid="{00000000-0006-0000-0000-000082020000}">
      <text>
        <r>
          <rPr>
            <b/>
            <sz val="9"/>
            <color indexed="81"/>
            <rFont val="Tahoma"/>
            <family val="2"/>
          </rPr>
          <t>COFINANCIACIÓN DEPARTAMENTO</t>
        </r>
        <r>
          <rPr>
            <sz val="9"/>
            <color indexed="81"/>
            <rFont val="Tahoma"/>
            <family val="2"/>
          </rPr>
          <t xml:space="preserve">
</t>
        </r>
      </text>
    </comment>
    <comment ref="S183" authorId="3" shapeId="0" xr:uid="{00000000-0006-0000-0000-000083020000}">
      <text>
        <r>
          <rPr>
            <b/>
            <sz val="9"/>
            <color indexed="81"/>
            <rFont val="Tahoma"/>
            <family val="2"/>
          </rPr>
          <t>COFINANCIACIÓN DEPARTAMENTO</t>
        </r>
        <r>
          <rPr>
            <sz val="9"/>
            <color indexed="81"/>
            <rFont val="Tahoma"/>
            <family val="2"/>
          </rPr>
          <t xml:space="preserve">
</t>
        </r>
      </text>
    </comment>
    <comment ref="T183" authorId="3" shapeId="0" xr:uid="{00000000-0006-0000-0000-000084020000}">
      <text>
        <r>
          <rPr>
            <b/>
            <sz val="9"/>
            <color indexed="81"/>
            <rFont val="Tahoma"/>
            <family val="2"/>
          </rPr>
          <t>COFINACIACIÓN NACIÓN</t>
        </r>
      </text>
    </comment>
    <comment ref="U183" authorId="3" shapeId="0" xr:uid="{00000000-0006-0000-0000-000085020000}">
      <text>
        <r>
          <rPr>
            <b/>
            <sz val="9"/>
            <color indexed="81"/>
            <rFont val="Tahoma"/>
            <family val="2"/>
          </rPr>
          <t>COFINACIACIÓN NACIÓN</t>
        </r>
      </text>
    </comment>
    <comment ref="V183" authorId="3" shapeId="0" xr:uid="{00000000-0006-0000-0000-000086020000}">
      <text>
        <r>
          <rPr>
            <b/>
            <sz val="9"/>
            <color indexed="81"/>
            <rFont val="Tahoma"/>
            <family val="2"/>
          </rPr>
          <t>CRÉDITO</t>
        </r>
      </text>
    </comment>
    <comment ref="W183" authorId="3" shapeId="0" xr:uid="{00000000-0006-0000-0000-000087020000}">
      <text>
        <r>
          <rPr>
            <b/>
            <sz val="9"/>
            <color indexed="81"/>
            <rFont val="Tahoma"/>
            <family val="2"/>
          </rPr>
          <t>CRÉDITO</t>
        </r>
      </text>
    </comment>
    <comment ref="X183" authorId="3" shapeId="0" xr:uid="{00000000-0006-0000-0000-000088020000}">
      <text>
        <r>
          <rPr>
            <b/>
            <sz val="9"/>
            <color indexed="81"/>
            <rFont val="Tahoma"/>
            <family val="2"/>
          </rPr>
          <t>OTROS</t>
        </r>
      </text>
    </comment>
    <comment ref="Y183" authorId="3" shapeId="0" xr:uid="{00000000-0006-0000-0000-000089020000}">
      <text>
        <r>
          <rPr>
            <b/>
            <sz val="9"/>
            <color indexed="81"/>
            <rFont val="Tahoma"/>
            <family val="2"/>
          </rPr>
          <t>OTROS</t>
        </r>
      </text>
    </comment>
    <comment ref="Z183" authorId="3" shapeId="0" xr:uid="{00000000-0006-0000-0000-00008A020000}">
      <text>
        <r>
          <rPr>
            <b/>
            <sz val="9"/>
            <color indexed="81"/>
            <rFont val="Tahoma"/>
            <family val="2"/>
          </rPr>
          <t>RECURSOS PROPIOS</t>
        </r>
      </text>
    </comment>
    <comment ref="AA183" authorId="3" shapeId="0" xr:uid="{00000000-0006-0000-0000-00008B020000}">
      <text>
        <r>
          <rPr>
            <b/>
            <sz val="9"/>
            <color indexed="81"/>
            <rFont val="Tahoma"/>
            <family val="2"/>
          </rPr>
          <t>RECURSOS PROPIOS</t>
        </r>
      </text>
    </comment>
    <comment ref="AB183" authorId="3" shapeId="0" xr:uid="{00000000-0006-0000-0000-00008C020000}">
      <text>
        <r>
          <rPr>
            <b/>
            <sz val="9"/>
            <color indexed="81"/>
            <rFont val="Tahoma"/>
            <family val="2"/>
          </rPr>
          <t>SGP</t>
        </r>
      </text>
    </comment>
    <comment ref="AC183" authorId="3" shapeId="0" xr:uid="{00000000-0006-0000-0000-00008D020000}">
      <text>
        <r>
          <rPr>
            <b/>
            <sz val="9"/>
            <color indexed="81"/>
            <rFont val="Tahoma"/>
            <family val="2"/>
          </rPr>
          <t>SGP</t>
        </r>
      </text>
    </comment>
    <comment ref="AD183" authorId="3" shapeId="0" xr:uid="{00000000-0006-0000-0000-00008E020000}">
      <text>
        <r>
          <rPr>
            <b/>
            <sz val="9"/>
            <color indexed="81"/>
            <rFont val="Tahoma"/>
            <family val="2"/>
          </rPr>
          <t>REGALÍAS</t>
        </r>
      </text>
    </comment>
    <comment ref="AE183" authorId="3" shapeId="0" xr:uid="{00000000-0006-0000-0000-00008F020000}">
      <text>
        <r>
          <rPr>
            <b/>
            <sz val="9"/>
            <color indexed="81"/>
            <rFont val="Tahoma"/>
            <family val="2"/>
          </rPr>
          <t>REGALÍAS</t>
        </r>
      </text>
    </comment>
    <comment ref="AF183" authorId="3" shapeId="0" xr:uid="{00000000-0006-0000-0000-000090020000}">
      <text>
        <r>
          <rPr>
            <b/>
            <sz val="9"/>
            <color indexed="81"/>
            <rFont val="Tahoma"/>
            <family val="2"/>
          </rPr>
          <t>RECURSOS FUNCIONAMIENTO</t>
        </r>
      </text>
    </comment>
    <comment ref="AG183" authorId="3" shapeId="0" xr:uid="{00000000-0006-0000-0000-000091020000}">
      <text>
        <r>
          <rPr>
            <b/>
            <sz val="9"/>
            <color indexed="81"/>
            <rFont val="Tahoma"/>
            <family val="2"/>
          </rPr>
          <t>RECURSOS FUNCIONAMIENTO</t>
        </r>
      </text>
    </comment>
    <comment ref="AH183" authorId="3" shapeId="0" xr:uid="{00000000-0006-0000-0000-000092020000}">
      <text>
        <r>
          <rPr>
            <b/>
            <sz val="9"/>
            <color indexed="81"/>
            <rFont val="Tahoma"/>
            <family val="2"/>
          </rPr>
          <t>RECURSOS GESTIONADOS</t>
        </r>
      </text>
    </comment>
    <comment ref="AI183" authorId="3" shapeId="0" xr:uid="{00000000-0006-0000-0000-000093020000}">
      <text>
        <r>
          <rPr>
            <b/>
            <sz val="9"/>
            <color indexed="81"/>
            <rFont val="Tahoma"/>
            <family val="2"/>
          </rPr>
          <t>RECURSOS GESTIONADOS</t>
        </r>
      </text>
    </comment>
    <comment ref="AJ183" authorId="3" shapeId="0" xr:uid="{00000000-0006-0000-0000-000094020000}">
      <text>
        <r>
          <rPr>
            <b/>
            <sz val="9"/>
            <color indexed="81"/>
            <rFont val="Tahoma"/>
            <family val="2"/>
          </rPr>
          <t>TOTALES</t>
        </r>
        <r>
          <rPr>
            <sz val="9"/>
            <color indexed="81"/>
            <rFont val="Tahoma"/>
            <family val="2"/>
          </rPr>
          <t xml:space="preserve">
</t>
        </r>
      </text>
    </comment>
    <comment ref="AK183" authorId="3" shapeId="0" xr:uid="{00000000-0006-0000-0000-000095020000}">
      <text>
        <r>
          <rPr>
            <b/>
            <sz val="9"/>
            <color indexed="81"/>
            <rFont val="Tahoma"/>
            <family val="2"/>
          </rPr>
          <t>TOTALES</t>
        </r>
        <r>
          <rPr>
            <sz val="9"/>
            <color indexed="81"/>
            <rFont val="Tahoma"/>
            <family val="2"/>
          </rPr>
          <t xml:space="preserve">
</t>
        </r>
      </text>
    </comment>
    <comment ref="AL183" authorId="2" shapeId="0" xr:uid="{00000000-0006-0000-0000-000096020000}">
      <text>
        <r>
          <rPr>
            <b/>
            <sz val="8"/>
            <color indexed="81"/>
            <rFont val="Tahoma"/>
            <family val="2"/>
          </rPr>
          <t>PRIMERA INFANCIA (0 a 5 años)</t>
        </r>
        <r>
          <rPr>
            <sz val="8"/>
            <color indexed="81"/>
            <rFont val="Tahoma"/>
            <family val="2"/>
          </rPr>
          <t xml:space="preserve">
</t>
        </r>
      </text>
    </comment>
    <comment ref="AM183" authorId="2" shapeId="0" xr:uid="{00000000-0006-0000-0000-000097020000}">
      <text>
        <r>
          <rPr>
            <b/>
            <sz val="8"/>
            <color indexed="81"/>
            <rFont val="Tahoma"/>
            <family val="2"/>
          </rPr>
          <t>INFANCIA (6 a 11 años)</t>
        </r>
        <r>
          <rPr>
            <sz val="8"/>
            <color indexed="81"/>
            <rFont val="Tahoma"/>
            <family val="2"/>
          </rPr>
          <t xml:space="preserve">
</t>
        </r>
      </text>
    </comment>
    <comment ref="AN183" authorId="2" shapeId="0" xr:uid="{00000000-0006-0000-0000-000098020000}">
      <text>
        <r>
          <rPr>
            <b/>
            <sz val="8"/>
            <color indexed="81"/>
            <rFont val="Tahoma"/>
            <family val="2"/>
          </rPr>
          <t>ADOLESCENCIA (12 A 17 años)</t>
        </r>
      </text>
    </comment>
    <comment ref="AO183" authorId="2" shapeId="0" xr:uid="{00000000-0006-0000-0000-000099020000}">
      <text>
        <r>
          <rPr>
            <b/>
            <sz val="8"/>
            <color indexed="81"/>
            <rFont val="Tahoma"/>
            <family val="2"/>
          </rPr>
          <t>JUVENTUD (18 a 28 años)</t>
        </r>
        <r>
          <rPr>
            <sz val="8"/>
            <color indexed="81"/>
            <rFont val="Tahoma"/>
            <family val="2"/>
          </rPr>
          <t xml:space="preserve">
</t>
        </r>
      </text>
    </comment>
    <comment ref="AP183" authorId="2" shapeId="0" xr:uid="{00000000-0006-0000-0000-00009A02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9B020000}">
      <text>
        <r>
          <rPr>
            <b/>
            <sz val="8"/>
            <color indexed="81"/>
            <rFont val="Tahoma"/>
            <family val="2"/>
          </rPr>
          <t>ADULTO MAYOR  (61 años en adelante)</t>
        </r>
        <r>
          <rPr>
            <sz val="8"/>
            <color indexed="81"/>
            <rFont val="Tahoma"/>
            <family val="2"/>
          </rPr>
          <t xml:space="preserve">
</t>
        </r>
      </text>
    </comment>
    <comment ref="AS183" authorId="2" shapeId="0" xr:uid="{00000000-0006-0000-0000-00009C020000}">
      <text>
        <r>
          <rPr>
            <b/>
            <sz val="8"/>
            <color indexed="81"/>
            <rFont val="Tahoma"/>
            <family val="2"/>
          </rPr>
          <t>MUJERES</t>
        </r>
        <r>
          <rPr>
            <sz val="8"/>
            <color indexed="81"/>
            <rFont val="Tahoma"/>
            <family val="2"/>
          </rPr>
          <t xml:space="preserve">
</t>
        </r>
      </text>
    </comment>
    <comment ref="AT183" authorId="2" shapeId="0" xr:uid="{00000000-0006-0000-0000-00009D020000}">
      <text>
        <r>
          <rPr>
            <b/>
            <sz val="8"/>
            <color indexed="81"/>
            <rFont val="Tahoma"/>
            <family val="2"/>
          </rPr>
          <t>HOMBRES</t>
        </r>
      </text>
    </comment>
    <comment ref="AV183" authorId="2" shapeId="0" xr:uid="{00000000-0006-0000-0000-00009E020000}">
      <text>
        <r>
          <rPr>
            <b/>
            <sz val="8"/>
            <color indexed="81"/>
            <rFont val="Tahoma"/>
            <family val="2"/>
          </rPr>
          <t>VÍCTIMAS CONFLICTO ARMADO</t>
        </r>
        <r>
          <rPr>
            <sz val="8"/>
            <color indexed="81"/>
            <rFont val="Tahoma"/>
            <family val="2"/>
          </rPr>
          <t xml:space="preserve">
</t>
        </r>
      </text>
    </comment>
    <comment ref="AX183" authorId="2" shapeId="0" xr:uid="{00000000-0006-0000-0000-00009F020000}">
      <text>
        <r>
          <rPr>
            <b/>
            <sz val="8"/>
            <color indexed="81"/>
            <rFont val="Tahoma"/>
            <family val="2"/>
          </rPr>
          <t>DISCAPACITADOS</t>
        </r>
        <r>
          <rPr>
            <sz val="8"/>
            <color indexed="81"/>
            <rFont val="Tahoma"/>
            <family val="2"/>
          </rPr>
          <t xml:space="preserve">
</t>
        </r>
      </text>
    </comment>
    <comment ref="AY183" authorId="2" shapeId="0" xr:uid="{00000000-0006-0000-0000-0000A0020000}">
      <text>
        <r>
          <rPr>
            <b/>
            <sz val="8"/>
            <color indexed="81"/>
            <rFont val="Tahoma"/>
            <family val="2"/>
          </rPr>
          <t>AFROCOLOMBIANO O RAIZAL</t>
        </r>
      </text>
    </comment>
    <comment ref="AZ183" authorId="2" shapeId="0" xr:uid="{00000000-0006-0000-0000-0000A1020000}">
      <text>
        <r>
          <rPr>
            <b/>
            <sz val="8"/>
            <color indexed="81"/>
            <rFont val="Tahoma"/>
            <family val="2"/>
          </rPr>
          <t>INDÍGENAS</t>
        </r>
        <r>
          <rPr>
            <sz val="8"/>
            <color indexed="81"/>
            <rFont val="Tahoma"/>
            <family val="2"/>
          </rPr>
          <t xml:space="preserve">
</t>
        </r>
      </text>
    </comment>
    <comment ref="BA183" authorId="1" shapeId="0" xr:uid="{00000000-0006-0000-0000-0000A2020000}">
      <text>
        <r>
          <rPr>
            <b/>
            <sz val="9"/>
            <color indexed="81"/>
            <rFont val="Tahoma"/>
            <family val="2"/>
          </rPr>
          <t>MEDIO DE EVIDENCIA. INFORME, RESGISTRO FOTOGRAFICO, PLANILLA, ETC</t>
        </r>
      </text>
    </comment>
    <comment ref="R192" authorId="3" shapeId="0" xr:uid="{00000000-0006-0000-0000-0000A3020000}">
      <text>
        <r>
          <rPr>
            <b/>
            <sz val="9"/>
            <color indexed="81"/>
            <rFont val="Tahoma"/>
            <family val="2"/>
          </rPr>
          <t>COFINANCIACIÓN DEPARTAMENTO</t>
        </r>
        <r>
          <rPr>
            <sz val="9"/>
            <color indexed="81"/>
            <rFont val="Tahoma"/>
            <family val="2"/>
          </rPr>
          <t xml:space="preserve">
</t>
        </r>
      </text>
    </comment>
    <comment ref="S192" authorId="3" shapeId="0" xr:uid="{00000000-0006-0000-0000-0000A4020000}">
      <text>
        <r>
          <rPr>
            <b/>
            <sz val="9"/>
            <color indexed="81"/>
            <rFont val="Tahoma"/>
            <family val="2"/>
          </rPr>
          <t>COFINANCIACIÓN DEPARTAMENTO</t>
        </r>
        <r>
          <rPr>
            <sz val="9"/>
            <color indexed="81"/>
            <rFont val="Tahoma"/>
            <family val="2"/>
          </rPr>
          <t xml:space="preserve">
</t>
        </r>
      </text>
    </comment>
    <comment ref="T192" authorId="3" shapeId="0" xr:uid="{00000000-0006-0000-0000-0000A5020000}">
      <text>
        <r>
          <rPr>
            <b/>
            <sz val="9"/>
            <color indexed="81"/>
            <rFont val="Tahoma"/>
            <family val="2"/>
          </rPr>
          <t>COFINACIACIÓN NACIÓN</t>
        </r>
      </text>
    </comment>
    <comment ref="U192" authorId="3" shapeId="0" xr:uid="{00000000-0006-0000-0000-0000A6020000}">
      <text>
        <r>
          <rPr>
            <b/>
            <sz val="9"/>
            <color indexed="81"/>
            <rFont val="Tahoma"/>
            <family val="2"/>
          </rPr>
          <t>COFINACIACIÓN NACIÓN</t>
        </r>
      </text>
    </comment>
    <comment ref="V192" authorId="3" shapeId="0" xr:uid="{00000000-0006-0000-0000-0000A7020000}">
      <text>
        <r>
          <rPr>
            <b/>
            <sz val="9"/>
            <color indexed="81"/>
            <rFont val="Tahoma"/>
            <family val="2"/>
          </rPr>
          <t>CRÉDITO</t>
        </r>
      </text>
    </comment>
    <comment ref="W192" authorId="3" shapeId="0" xr:uid="{00000000-0006-0000-0000-0000A8020000}">
      <text>
        <r>
          <rPr>
            <b/>
            <sz val="9"/>
            <color indexed="81"/>
            <rFont val="Tahoma"/>
            <family val="2"/>
          </rPr>
          <t>CRÉDITO</t>
        </r>
      </text>
    </comment>
    <comment ref="X192" authorId="3" shapeId="0" xr:uid="{00000000-0006-0000-0000-0000A9020000}">
      <text>
        <r>
          <rPr>
            <b/>
            <sz val="9"/>
            <color indexed="81"/>
            <rFont val="Tahoma"/>
            <family val="2"/>
          </rPr>
          <t>OTROS</t>
        </r>
      </text>
    </comment>
    <comment ref="Y192" authorId="3" shapeId="0" xr:uid="{00000000-0006-0000-0000-0000AA020000}">
      <text>
        <r>
          <rPr>
            <b/>
            <sz val="9"/>
            <color indexed="81"/>
            <rFont val="Tahoma"/>
            <family val="2"/>
          </rPr>
          <t>OTROS</t>
        </r>
      </text>
    </comment>
    <comment ref="Z192" authorId="3" shapeId="0" xr:uid="{00000000-0006-0000-0000-0000AB020000}">
      <text>
        <r>
          <rPr>
            <b/>
            <sz val="9"/>
            <color indexed="81"/>
            <rFont val="Tahoma"/>
            <family val="2"/>
          </rPr>
          <t>RECURSOS PROPIOS</t>
        </r>
      </text>
    </comment>
    <comment ref="AA192" authorId="3" shapeId="0" xr:uid="{00000000-0006-0000-0000-0000AC020000}">
      <text>
        <r>
          <rPr>
            <b/>
            <sz val="9"/>
            <color indexed="81"/>
            <rFont val="Tahoma"/>
            <family val="2"/>
          </rPr>
          <t>RECURSOS PROPIOS</t>
        </r>
      </text>
    </comment>
    <comment ref="AB192" authorId="3" shapeId="0" xr:uid="{00000000-0006-0000-0000-0000AD020000}">
      <text>
        <r>
          <rPr>
            <b/>
            <sz val="9"/>
            <color indexed="81"/>
            <rFont val="Tahoma"/>
            <family val="2"/>
          </rPr>
          <t>SGP</t>
        </r>
      </text>
    </comment>
    <comment ref="AC192" authorId="3" shapeId="0" xr:uid="{00000000-0006-0000-0000-0000AE020000}">
      <text>
        <r>
          <rPr>
            <b/>
            <sz val="9"/>
            <color indexed="81"/>
            <rFont val="Tahoma"/>
            <family val="2"/>
          </rPr>
          <t>SGP</t>
        </r>
      </text>
    </comment>
    <comment ref="AD192" authorId="3" shapeId="0" xr:uid="{00000000-0006-0000-0000-0000AF020000}">
      <text>
        <r>
          <rPr>
            <b/>
            <sz val="9"/>
            <color indexed="81"/>
            <rFont val="Tahoma"/>
            <family val="2"/>
          </rPr>
          <t>REGALÍAS</t>
        </r>
      </text>
    </comment>
    <comment ref="AE192" authorId="3" shapeId="0" xr:uid="{00000000-0006-0000-0000-0000B0020000}">
      <text>
        <r>
          <rPr>
            <b/>
            <sz val="9"/>
            <color indexed="81"/>
            <rFont val="Tahoma"/>
            <family val="2"/>
          </rPr>
          <t>REGALÍAS</t>
        </r>
      </text>
    </comment>
    <comment ref="AF192" authorId="3" shapeId="0" xr:uid="{00000000-0006-0000-0000-0000B1020000}">
      <text>
        <r>
          <rPr>
            <b/>
            <sz val="9"/>
            <color indexed="81"/>
            <rFont val="Tahoma"/>
            <family val="2"/>
          </rPr>
          <t>RECURSOS FUNCIONAMIENTO</t>
        </r>
      </text>
    </comment>
    <comment ref="AG192" authorId="3" shapeId="0" xr:uid="{00000000-0006-0000-0000-0000B2020000}">
      <text>
        <r>
          <rPr>
            <b/>
            <sz val="9"/>
            <color indexed="81"/>
            <rFont val="Tahoma"/>
            <family val="2"/>
          </rPr>
          <t>RECURSOS FUNCIONAMIENTO</t>
        </r>
      </text>
    </comment>
    <comment ref="AH192" authorId="3" shapeId="0" xr:uid="{00000000-0006-0000-0000-0000B3020000}">
      <text>
        <r>
          <rPr>
            <b/>
            <sz val="9"/>
            <color indexed="81"/>
            <rFont val="Tahoma"/>
            <family val="2"/>
          </rPr>
          <t>RECURSOS GESTIONADOS</t>
        </r>
      </text>
    </comment>
    <comment ref="AI192" authorId="3" shapeId="0" xr:uid="{00000000-0006-0000-0000-0000B4020000}">
      <text>
        <r>
          <rPr>
            <b/>
            <sz val="9"/>
            <color indexed="81"/>
            <rFont val="Tahoma"/>
            <family val="2"/>
          </rPr>
          <t>RECURSOS GESTIONADOS</t>
        </r>
      </text>
    </comment>
    <comment ref="AJ192" authorId="3" shapeId="0" xr:uid="{00000000-0006-0000-0000-0000B5020000}">
      <text>
        <r>
          <rPr>
            <b/>
            <sz val="9"/>
            <color indexed="81"/>
            <rFont val="Tahoma"/>
            <family val="2"/>
          </rPr>
          <t>TOTALES</t>
        </r>
        <r>
          <rPr>
            <sz val="9"/>
            <color indexed="81"/>
            <rFont val="Tahoma"/>
            <family val="2"/>
          </rPr>
          <t xml:space="preserve">
</t>
        </r>
      </text>
    </comment>
    <comment ref="AK192" authorId="3" shapeId="0" xr:uid="{00000000-0006-0000-0000-0000B6020000}">
      <text>
        <r>
          <rPr>
            <b/>
            <sz val="9"/>
            <color indexed="81"/>
            <rFont val="Tahoma"/>
            <family val="2"/>
          </rPr>
          <t>TOTALES</t>
        </r>
        <r>
          <rPr>
            <sz val="9"/>
            <color indexed="81"/>
            <rFont val="Tahoma"/>
            <family val="2"/>
          </rPr>
          <t xml:space="preserve">
</t>
        </r>
      </text>
    </comment>
    <comment ref="AL192" authorId="2" shapeId="0" xr:uid="{00000000-0006-0000-0000-0000B7020000}">
      <text>
        <r>
          <rPr>
            <b/>
            <sz val="8"/>
            <color indexed="81"/>
            <rFont val="Tahoma"/>
            <family val="2"/>
          </rPr>
          <t>PRIMERA INFANCIA (0 a 5 años)</t>
        </r>
        <r>
          <rPr>
            <sz val="8"/>
            <color indexed="81"/>
            <rFont val="Tahoma"/>
            <family val="2"/>
          </rPr>
          <t xml:space="preserve">
</t>
        </r>
      </text>
    </comment>
    <comment ref="AM192" authorId="2" shapeId="0" xr:uid="{00000000-0006-0000-0000-0000B8020000}">
      <text>
        <r>
          <rPr>
            <b/>
            <sz val="8"/>
            <color indexed="81"/>
            <rFont val="Tahoma"/>
            <family val="2"/>
          </rPr>
          <t>INFANCIA (6 a 11 años)</t>
        </r>
        <r>
          <rPr>
            <sz val="8"/>
            <color indexed="81"/>
            <rFont val="Tahoma"/>
            <family val="2"/>
          </rPr>
          <t xml:space="preserve">
</t>
        </r>
      </text>
    </comment>
    <comment ref="AN192" authorId="2" shapeId="0" xr:uid="{00000000-0006-0000-0000-0000B9020000}">
      <text>
        <r>
          <rPr>
            <b/>
            <sz val="8"/>
            <color indexed="81"/>
            <rFont val="Tahoma"/>
            <family val="2"/>
          </rPr>
          <t>ADOLESCENCIA (12 A 17 años)</t>
        </r>
      </text>
    </comment>
    <comment ref="AO192" authorId="2" shapeId="0" xr:uid="{00000000-0006-0000-0000-0000BA020000}">
      <text>
        <r>
          <rPr>
            <b/>
            <sz val="8"/>
            <color indexed="81"/>
            <rFont val="Tahoma"/>
            <family val="2"/>
          </rPr>
          <t>JUVENTUD (18 a 28 años)</t>
        </r>
        <r>
          <rPr>
            <sz val="8"/>
            <color indexed="81"/>
            <rFont val="Tahoma"/>
            <family val="2"/>
          </rPr>
          <t xml:space="preserve">
</t>
        </r>
      </text>
    </comment>
    <comment ref="AP192" authorId="2" shapeId="0" xr:uid="{00000000-0006-0000-0000-0000BB02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BC020000}">
      <text>
        <r>
          <rPr>
            <b/>
            <sz val="8"/>
            <color indexed="81"/>
            <rFont val="Tahoma"/>
            <family val="2"/>
          </rPr>
          <t>ADULTO MAYOR  (61 años en adelante)</t>
        </r>
        <r>
          <rPr>
            <sz val="8"/>
            <color indexed="81"/>
            <rFont val="Tahoma"/>
            <family val="2"/>
          </rPr>
          <t xml:space="preserve">
</t>
        </r>
      </text>
    </comment>
    <comment ref="AS192" authorId="2" shapeId="0" xr:uid="{00000000-0006-0000-0000-0000BD020000}">
      <text>
        <r>
          <rPr>
            <b/>
            <sz val="8"/>
            <color indexed="81"/>
            <rFont val="Tahoma"/>
            <family val="2"/>
          </rPr>
          <t>MUJERES</t>
        </r>
        <r>
          <rPr>
            <sz val="8"/>
            <color indexed="81"/>
            <rFont val="Tahoma"/>
            <family val="2"/>
          </rPr>
          <t xml:space="preserve">
</t>
        </r>
      </text>
    </comment>
    <comment ref="AT192" authorId="2" shapeId="0" xr:uid="{00000000-0006-0000-0000-0000BE020000}">
      <text>
        <r>
          <rPr>
            <b/>
            <sz val="8"/>
            <color indexed="81"/>
            <rFont val="Tahoma"/>
            <family val="2"/>
          </rPr>
          <t>HOMBRES</t>
        </r>
      </text>
    </comment>
    <comment ref="AV192" authorId="2" shapeId="0" xr:uid="{00000000-0006-0000-0000-0000BF020000}">
      <text>
        <r>
          <rPr>
            <b/>
            <sz val="8"/>
            <color indexed="81"/>
            <rFont val="Tahoma"/>
            <family val="2"/>
          </rPr>
          <t>VÍCTIMAS CONFLICTO ARMADO</t>
        </r>
        <r>
          <rPr>
            <sz val="8"/>
            <color indexed="81"/>
            <rFont val="Tahoma"/>
            <family val="2"/>
          </rPr>
          <t xml:space="preserve">
</t>
        </r>
      </text>
    </comment>
    <comment ref="AX192" authorId="2" shapeId="0" xr:uid="{00000000-0006-0000-0000-0000C0020000}">
      <text>
        <r>
          <rPr>
            <b/>
            <sz val="8"/>
            <color indexed="81"/>
            <rFont val="Tahoma"/>
            <family val="2"/>
          </rPr>
          <t>DISCAPACITADOS</t>
        </r>
        <r>
          <rPr>
            <sz val="8"/>
            <color indexed="81"/>
            <rFont val="Tahoma"/>
            <family val="2"/>
          </rPr>
          <t xml:space="preserve">
</t>
        </r>
      </text>
    </comment>
    <comment ref="AY192" authorId="2" shapeId="0" xr:uid="{00000000-0006-0000-0000-0000C1020000}">
      <text>
        <r>
          <rPr>
            <b/>
            <sz val="8"/>
            <color indexed="81"/>
            <rFont val="Tahoma"/>
            <family val="2"/>
          </rPr>
          <t>AFROCOLOMBIANO O RAIZAL</t>
        </r>
      </text>
    </comment>
    <comment ref="AZ192" authorId="2" shapeId="0" xr:uid="{00000000-0006-0000-0000-0000C2020000}">
      <text>
        <r>
          <rPr>
            <b/>
            <sz val="8"/>
            <color indexed="81"/>
            <rFont val="Tahoma"/>
            <family val="2"/>
          </rPr>
          <t>INDÍGENAS</t>
        </r>
        <r>
          <rPr>
            <sz val="8"/>
            <color indexed="81"/>
            <rFont val="Tahoma"/>
            <family val="2"/>
          </rPr>
          <t xml:space="preserve">
</t>
        </r>
      </text>
    </comment>
    <comment ref="BA192" authorId="1" shapeId="0" xr:uid="{00000000-0006-0000-0000-0000C302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<sst xmlns="http://schemas.openxmlformats.org/spreadsheetml/2006/main" count="10751" uniqueCount="1965">
  <si>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</si>
  <si>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</si>
  <si>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</si>
  <si>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</si>
  <si>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</si>
  <si>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</si>
  <si>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</si>
  <si>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</si>
  <si>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</si>
  <si>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</si>
  <si>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</si>
  <si>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</si>
  <si>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</si>
  <si>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</si>
  <si>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</si>
  <si>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</si>
  <si>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</si>
  <si>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</si>
  <si>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</si>
  <si>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</si>
  <si>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</si>
  <si>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</si>
  <si>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</si>
  <si>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</si>
  <si>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</si>
  <si>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</si>
  <si>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</si>
  <si>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</si>
  <si>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</si>
  <si>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</si>
  <si>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</si>
  <si>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</si>
  <si>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</si>
  <si>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</si>
  <si>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</si>
  <si>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</si>
  <si>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</si>
  <si>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</si>
  <si>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</si>
  <si>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</si>
  <si>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</si>
  <si>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</si>
  <si>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</si>
  <si>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</si>
  <si>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</si>
  <si>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</si>
  <si>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</si>
  <si>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</si>
  <si>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</si>
  <si>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</si>
  <si>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</si>
  <si>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</si>
  <si>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</si>
  <si>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</si>
  <si>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</si>
  <si>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</si>
  <si>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</si>
  <si>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</si>
  <si>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</si>
  <si>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</si>
  <si>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</si>
  <si>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</si>
  <si>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</si>
  <si>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</si>
  <si>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</si>
  <si>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</si>
  <si>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</si>
  <si>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</si>
  <si>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</si>
  <si>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</si>
  <si>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</si>
  <si>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</si>
  <si>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</si>
  <si>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</si>
  <si>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</si>
  <si>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</si>
  <si>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</si>
  <si>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</si>
  <si>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</si>
  <si>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</si>
  <si>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</si>
  <si>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</si>
  <si>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</si>
  <si>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</si>
  <si>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</si>
  <si>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</si>
  <si>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</si>
  <si>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</si>
  <si>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</si>
  <si>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</si>
  <si>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</si>
  <si>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</si>
  <si>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</si>
  <si>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</si>
  <si>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</si>
  <si>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</si>
  <si>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</si>
  <si>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</si>
  <si>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</si>
  <si>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</si>
  <si>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</si>
  <si>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</si>
  <si>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</si>
  <si>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</si>
  <si>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</si>
  <si>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</si>
  <si>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</si>
  <si>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</si>
  <si>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</si>
  <si>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</si>
  <si>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</si>
  <si>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</si>
  <si>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</si>
  <si>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</si>
  <si>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</si>
  <si>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</si>
  <si>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</si>
  <si>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</si>
  <si>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</si>
  <si>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</si>
  <si>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</si>
  <si>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</si>
  <si>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</si>
  <si>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</si>
  <si>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</si>
  <si>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</si>
  <si>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</si>
  <si>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</si>
  <si>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</si>
  <si>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</si>
  <si>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</si>
  <si>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</si>
  <si>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</si>
  <si>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</si>
  <si>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</si>
  <si>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</si>
  <si>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</si>
  <si>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</si>
  <si>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</si>
  <si>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</si>
  <si>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</si>
  <si>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</si>
  <si>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</si>
  <si>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</si>
  <si>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</si>
  <si>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</si>
  <si>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</si>
  <si>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</si>
  <si>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</si>
  <si>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</si>
  <si>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</si>
  <si>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</si>
  <si>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</si>
  <si>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</si>
  <si>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</si>
  <si>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</si>
  <si>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</si>
  <si>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</si>
  <si>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</si>
  <si>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</si>
  <si>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</si>
  <si>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</si>
  <si>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</si>
  <si>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</si>
  <si>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</si>
  <si>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</si>
  <si>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</si>
  <si>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</si>
  <si>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</si>
  <si>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</si>
  <si>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</si>
  <si>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</si>
  <si>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</si>
  <si>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</si>
  <si>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</si>
  <si>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</si>
  <si>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</si>
  <si>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</si>
  <si>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</si>
  <si>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</si>
  <si>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</si>
  <si>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</si>
  <si>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</si>
  <si>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</si>
  <si>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</si>
  <si>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</si>
  <si>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</si>
  <si>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</si>
  <si>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</si>
  <si>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</si>
  <si>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</si>
  <si>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</si>
  <si>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</si>
  <si>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</si>
  <si>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</si>
  <si>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</si>
  <si>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</si>
  <si>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</si>
  <si>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</si>
  <si>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</si>
  <si>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</si>
  <si>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</si>
  <si>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</si>
  <si>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</si>
  <si>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</si>
  <si>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</si>
  <si>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</si>
  <si>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</si>
  <si>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</si>
  <si>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</si>
  <si>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</si>
  <si>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</si>
  <si>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</si>
  <si>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</si>
  <si>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</si>
  <si>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</si>
  <si>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</si>
  <si>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</si>
  <si>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</si>
  <si>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</si>
  <si>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</si>
  <si>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</si>
  <si>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</si>
  <si>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</si>
  <si>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</si>
  <si>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</si>
  <si>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</si>
  <si>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</si>
  <si>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</si>
  <si>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</si>
  <si>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</si>
  <si>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</si>
  <si>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</si>
  <si>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</si>
  <si>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</si>
  <si>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</si>
  <si>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</si>
  <si>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</si>
  <si>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</si>
  <si>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</si>
  <si>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</si>
  <si>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</si>
  <si>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</si>
  <si>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</si>
  <si>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</si>
  <si>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</si>
  <si>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</si>
  <si>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</si>
  <si>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</si>
  <si>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</si>
  <si>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</si>
  <si>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</si>
  <si>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</si>
  <si>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</si>
  <si>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</si>
  <si>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</si>
  <si>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</si>
  <si>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</si>
  <si>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</si>
  <si>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</si>
  <si>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</si>
  <si>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</si>
  <si>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</si>
  <si>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</si>
  <si>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</si>
  <si>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</si>
  <si>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</si>
  <si>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</si>
  <si>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</si>
  <si>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</si>
  <si>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</si>
  <si>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</si>
  <si>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</si>
  <si>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</si>
  <si>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</si>
  <si>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</si>
  <si>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</si>
  <si>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</si>
  <si>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</si>
  <si>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</si>
  <si>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</si>
  <si>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</si>
  <si>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</si>
  <si>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</si>
  <si>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</si>
  <si>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</si>
  <si>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</si>
  <si>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</si>
  <si>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</si>
  <si>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</si>
  <si>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</si>
  <si>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</si>
  <si>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</si>
  <si>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</si>
  <si>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</si>
  <si>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</si>
  <si>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</si>
  <si>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</si>
  <si>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</si>
  <si>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</si>
  <si>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</si>
  <si>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</si>
  <si>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</si>
  <si>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</si>
  <si>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</si>
  <si>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</si>
  <si>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</si>
  <si>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</si>
  <si>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</si>
  <si>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</si>
  <si>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</si>
  <si>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</si>
  <si>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</si>
  <si>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</si>
  <si>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</si>
  <si>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</si>
  <si>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</si>
  <si>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</si>
  <si>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</si>
  <si>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</si>
  <si>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</si>
  <si>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</si>
  <si>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</si>
  <si>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</si>
  <si>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</si>
  <si>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</si>
  <si>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</si>
  <si>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</si>
  <si>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</si>
  <si>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</si>
  <si>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</si>
  <si>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</si>
  <si>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</si>
  <si>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</si>
  <si>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</si>
  <si>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</si>
  <si>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</si>
  <si>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</si>
  <si>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</si>
  <si>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</si>
  <si>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</si>
  <si>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</si>
  <si>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</si>
  <si>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</si>
  <si>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</si>
  <si>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</si>
  <si>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</si>
  <si>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</si>
  <si>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</si>
  <si>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</si>
  <si>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</si>
  <si>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</si>
  <si>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</si>
  <si>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</si>
  <si>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</si>
  <si>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</si>
  <si>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</si>
  <si>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</si>
  <si>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</si>
  <si>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</si>
  <si>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</si>
  <si>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</si>
  <si>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</si>
  <si>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</si>
  <si>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</si>
  <si>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</si>
  <si>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</si>
  <si>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</si>
  <si>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</si>
  <si>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</si>
  <si>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</si>
  <si>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</si>
  <si>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</si>
  <si>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</si>
  <si>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</si>
  <si>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</si>
  <si>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</si>
  <si>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</si>
  <si>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</si>
  <si>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</si>
  <si>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</si>
  <si>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</si>
  <si>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</si>
  <si>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</si>
  <si>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</si>
  <si>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</si>
  <si>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</si>
  <si>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</si>
  <si>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</si>
  <si>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</si>
  <si>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</si>
  <si>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</si>
  <si>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</si>
  <si>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</si>
  <si>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</si>
  <si>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</si>
  <si>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</si>
  <si>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</si>
  <si>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</si>
  <si>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</si>
  <si>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</si>
  <si>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</si>
  <si>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</si>
  <si>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</si>
  <si>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</si>
  <si>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</si>
  <si>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</si>
  <si>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</si>
  <si>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</si>
  <si>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</si>
  <si>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</si>
  <si>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</si>
  <si>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</si>
  <si>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</si>
  <si>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</si>
  <si>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</si>
  <si>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</si>
  <si>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</si>
  <si>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</si>
  <si>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</si>
  <si>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</si>
  <si>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</si>
  <si>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</si>
  <si>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</si>
  <si>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</si>
  <si>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</si>
  <si>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</si>
  <si>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</si>
  <si>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</si>
  <si>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</si>
  <si>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</si>
  <si>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</si>
  <si>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</si>
  <si>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</si>
  <si>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</si>
  <si>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</si>
  <si>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</si>
  <si>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</si>
  <si>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</si>
  <si>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</si>
  <si>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</si>
  <si>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</si>
  <si>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</si>
  <si>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</si>
  <si>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</si>
  <si>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</si>
  <si>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</si>
  <si>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</si>
  <si>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</si>
  <si>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</si>
  <si>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</si>
  <si>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</si>
  <si>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</si>
  <si>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</si>
  <si>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</si>
  <si>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</si>
  <si>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</si>
  <si>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</si>
  <si>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</si>
  <si>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</si>
  <si>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</si>
  <si>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</si>
  <si>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</si>
  <si>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</si>
  <si>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</si>
  <si>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</si>
  <si>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</si>
  <si>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</si>
  <si>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</si>
  <si>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</si>
  <si>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</si>
  <si>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</si>
  <si>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</si>
  <si>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</si>
  <si>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</si>
  <si>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</si>
  <si>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</si>
  <si>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</si>
  <si>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</si>
  <si>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</si>
  <si>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</si>
  <si>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</si>
  <si>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</si>
  <si>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</si>
  <si>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</si>
  <si>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</si>
  <si>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</si>
  <si>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</si>
  <si>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</si>
  <si>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</si>
  <si>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</si>
  <si>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</si>
  <si>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</si>
  <si>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</si>
  <si>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</si>
  <si>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</si>
  <si>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</si>
  <si>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</si>
  <si>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</si>
  <si>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</si>
  <si>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</si>
  <si>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</si>
  <si>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</si>
  <si>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</si>
  <si>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</si>
  <si>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</si>
  <si>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</si>
  <si>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</si>
  <si>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</si>
  <si>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</si>
  <si>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</si>
  <si>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</si>
  <si>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</si>
  <si>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</si>
  <si>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</si>
  <si>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</si>
  <si>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</si>
  <si>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</si>
  <si>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</si>
  <si>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</si>
  <si>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</si>
  <si>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</si>
  <si>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</si>
  <si>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</si>
  <si>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</si>
  <si>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</si>
  <si>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</si>
  <si>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</si>
  <si>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</si>
  <si>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</si>
  <si>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</si>
  <si>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</si>
  <si>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</si>
  <si>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</si>
  <si>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</si>
  <si>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</si>
  <si>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</si>
  <si>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</si>
  <si>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</si>
  <si>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</si>
  <si>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</si>
  <si>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</si>
  <si>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</si>
  <si>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</si>
  <si>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</si>
  <si>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</si>
  <si>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</si>
  <si>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</si>
  <si>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</si>
  <si>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</si>
  <si>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</si>
  <si>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</si>
  <si>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</si>
  <si>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</si>
  <si>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</si>
  <si>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</si>
  <si>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</si>
  <si>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</si>
  <si>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</si>
  <si>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</si>
  <si>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</si>
  <si>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</si>
  <si>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</si>
  <si>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</si>
  <si>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</si>
  <si>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</si>
  <si>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</si>
  <si>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</si>
  <si>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</si>
  <si>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</si>
  <si>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</si>
  <si>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</si>
  <si>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</si>
  <si>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</si>
  <si>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</si>
  <si>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</si>
  <si>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</si>
  <si>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</si>
  <si>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</si>
  <si>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</si>
  <si>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</si>
  <si>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</si>
  <si>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</si>
  <si>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</si>
  <si>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</si>
  <si>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</si>
  <si>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</si>
  <si>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</si>
  <si>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</si>
  <si>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</si>
  <si>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</si>
  <si>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</si>
  <si>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</si>
  <si>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</si>
  <si>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</si>
  <si>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</si>
  <si>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</si>
  <si>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</si>
  <si>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</si>
  <si>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</si>
  <si>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</si>
  <si>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</si>
  <si>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</si>
  <si>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</si>
  <si>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</si>
  <si>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</si>
  <si>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</si>
  <si>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</si>
  <si>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</si>
  <si>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</si>
  <si>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</si>
  <si>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</si>
  <si>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</si>
  <si>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</si>
  <si>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</si>
  <si>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</si>
  <si>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</si>
  <si>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</si>
  <si>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</si>
  <si>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</si>
  <si>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</si>
  <si>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</si>
  <si>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</si>
  <si>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</si>
  <si>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</si>
  <si>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</si>
  <si>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</si>
  <si>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</si>
  <si>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</si>
  <si>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</si>
  <si>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</si>
  <si>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</si>
  <si>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</si>
  <si>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</si>
  <si>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</si>
  <si>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</si>
  <si>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</si>
  <si>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</si>
  <si>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</si>
  <si>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</si>
  <si>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</si>
  <si>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</si>
  <si>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</si>
  <si>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</si>
  <si>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</si>
  <si>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</si>
  <si>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</si>
  <si>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</si>
  <si>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</si>
  <si>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</si>
  <si>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</si>
  <si>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</si>
  <si>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</si>
  <si>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</si>
  <si>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</si>
  <si>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</si>
  <si>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</si>
  <si>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</si>
  <si>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</si>
  <si>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</si>
  <si>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</si>
  <si>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</si>
  <si>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</si>
  <si>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</si>
  <si>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</si>
  <si>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</si>
  <si>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</si>
  <si>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</si>
  <si>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</si>
  <si>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</si>
  <si>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</si>
  <si>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</si>
  <si>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</si>
  <si>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</si>
  <si>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</si>
  <si>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</si>
  <si>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</si>
  <si>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</si>
  <si>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</si>
  <si>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</si>
  <si>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</si>
  <si>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</si>
  <si>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</si>
  <si>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</si>
  <si>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</si>
  <si>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</si>
  <si>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</si>
  <si>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</si>
  <si>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</si>
  <si>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</si>
  <si>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</si>
  <si>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</si>
  <si>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</si>
  <si>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</si>
  <si>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</si>
  <si>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</si>
  <si>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</si>
  <si>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</si>
  <si>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</si>
  <si>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</si>
  <si>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</si>
  <si>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</si>
  <si>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</si>
  <si>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</si>
  <si>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</si>
  <si>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</si>
  <si>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</si>
  <si>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</si>
  <si>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</si>
  <si>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</si>
  <si>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</si>
  <si>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</si>
  <si>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</si>
  <si>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</si>
  <si>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</si>
  <si>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</si>
  <si>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</si>
  <si>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</si>
  <si>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</si>
  <si>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</si>
  <si>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</si>
  <si>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</si>
  <si>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</si>
  <si>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</si>
  <si>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</si>
  <si>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</si>
  <si>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</si>
  <si>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</si>
  <si>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</si>
  <si>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</si>
  <si>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</si>
  <si>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</si>
  <si>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</si>
  <si>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</si>
  <si>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</si>
  <si>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</si>
  <si>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</si>
  <si>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</si>
  <si>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</si>
  <si>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</si>
  <si>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</si>
  <si>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</si>
  <si>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</si>
  <si>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</si>
  <si>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</si>
  <si>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</si>
  <si>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</si>
  <si>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</si>
  <si>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</si>
  <si>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</si>
  <si>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</si>
  <si>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</si>
  <si>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</si>
  <si>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</si>
  <si>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</si>
  <si>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</si>
  <si>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</si>
  <si>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</si>
  <si>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</si>
  <si>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</si>
  <si>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</si>
  <si>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</si>
  <si>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</si>
  <si>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</si>
  <si>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</si>
  <si>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</si>
  <si>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</si>
  <si>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</si>
  <si>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</si>
  <si>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</si>
  <si>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</si>
  <si>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</si>
  <si>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</si>
  <si>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</si>
  <si>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</si>
  <si>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</si>
  <si>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</si>
  <si>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</si>
  <si>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</si>
  <si>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</si>
  <si>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</si>
  <si>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</si>
  <si>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</si>
  <si>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</si>
  <si>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</si>
  <si>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</si>
  <si>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</si>
  <si>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</si>
  <si>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</si>
  <si>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</si>
  <si>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</si>
  <si>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</si>
  <si>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</si>
  <si>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</si>
  <si>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</si>
  <si>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</si>
  <si>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</si>
  <si>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</si>
  <si>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</si>
  <si>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</si>
  <si>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</si>
  <si>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</si>
  <si>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</si>
  <si>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</si>
  <si>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</si>
  <si>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</si>
  <si>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</si>
  <si>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</si>
  <si>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</si>
  <si>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</si>
  <si>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</si>
  <si>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</si>
  <si>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</si>
  <si>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</si>
  <si>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</si>
  <si>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</si>
  <si>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</si>
  <si>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</si>
  <si>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</si>
  <si>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</si>
  <si>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</si>
  <si>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</si>
  <si>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</si>
  <si>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</si>
  <si>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</si>
  <si>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</si>
  <si>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</si>
  <si>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</si>
  <si>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</si>
  <si>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</si>
  <si>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</si>
  <si>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</si>
  <si>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</si>
  <si>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</si>
  <si>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</si>
  <si>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</si>
  <si>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</si>
  <si>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</si>
  <si>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</si>
  <si>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</si>
  <si>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</si>
  <si>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</si>
  <si>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</si>
  <si>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</si>
  <si>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</si>
  <si>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</si>
  <si>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</si>
  <si>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</si>
  <si>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</si>
  <si>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</si>
  <si>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</si>
  <si>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</si>
  <si>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</si>
  <si>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</si>
  <si>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</si>
  <si>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</si>
  <si>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</si>
  <si>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</si>
  <si>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</si>
  <si>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</si>
  <si>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</si>
  <si>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</si>
  <si>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</si>
  <si>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</si>
  <si>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</si>
  <si>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</si>
  <si>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</si>
  <si>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</si>
  <si>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</si>
  <si>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</si>
  <si>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</si>
  <si>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</si>
  <si>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</si>
  <si>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</si>
  <si>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</si>
  <si>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</si>
  <si>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</si>
  <si>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</si>
  <si>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</si>
  <si>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</si>
  <si>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</si>
  <si>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</si>
  <si>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</si>
  <si>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</si>
  <si>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</si>
  <si>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</si>
  <si>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</si>
  <si>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</si>
  <si>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</si>
  <si>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</si>
  <si>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</si>
  <si>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</si>
  <si>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</si>
  <si>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</si>
  <si>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</si>
  <si>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</si>
  <si>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</si>
  <si>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</si>
  <si>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</si>
  <si>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</si>
  <si>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</si>
  <si>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</si>
  <si>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</si>
  <si>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</si>
  <si>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</si>
  <si>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</si>
  <si>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</si>
  <si>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</si>
  <si>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</si>
  <si>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</si>
  <si>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</si>
  <si>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</si>
  <si>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</si>
  <si>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</si>
  <si>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</si>
  <si>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</si>
  <si>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</si>
  <si>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</si>
  <si>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</si>
  <si>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</si>
  <si>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</si>
  <si>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</si>
  <si>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</si>
  <si>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</si>
  <si>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</si>
  <si>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</si>
  <si>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</si>
  <si>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</si>
  <si>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</si>
  <si>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</si>
  <si>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</si>
  <si>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</si>
  <si>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</si>
  <si>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</si>
  <si>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</si>
  <si>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</si>
  <si>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</si>
  <si>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</si>
  <si>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</si>
  <si>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</si>
  <si>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</si>
  <si>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</si>
  <si>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</si>
  <si>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</si>
  <si>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</si>
  <si>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</si>
  <si>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</si>
  <si>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</si>
  <si>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</si>
  <si>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</si>
  <si>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</si>
  <si>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</si>
  <si>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</si>
  <si>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</si>
  <si>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</si>
  <si>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</si>
  <si>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</si>
  <si>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</si>
  <si>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</si>
  <si>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</si>
  <si>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</si>
  <si>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</si>
  <si>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</si>
  <si>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</si>
  <si>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</si>
  <si>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</si>
  <si>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</si>
  <si>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</si>
  <si>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</si>
  <si>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</si>
  <si>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</si>
  <si>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</si>
  <si>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</si>
  <si>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</si>
  <si>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</si>
  <si>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</si>
  <si>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</si>
  <si>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</si>
  <si>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</si>
  <si>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</si>
  <si>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</si>
  <si>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</si>
  <si>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</si>
  <si>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</si>
  <si>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</si>
  <si>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</si>
  <si>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</si>
  <si>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</si>
  <si>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</si>
  <si>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</si>
  <si>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</si>
  <si>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</si>
  <si>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</si>
  <si>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</si>
  <si>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</si>
  <si>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</si>
  <si>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</si>
  <si>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</si>
  <si>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</si>
  <si>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</si>
  <si>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</si>
  <si>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</si>
  <si>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</si>
  <si>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</si>
  <si>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</si>
  <si>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</si>
  <si>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</si>
  <si>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</si>
  <si>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</si>
  <si>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</si>
  <si>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</si>
  <si>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</si>
  <si>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</si>
  <si>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</si>
  <si>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</si>
  <si>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</si>
  <si>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</si>
  <si>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</si>
  <si>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</si>
  <si>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</si>
  <si>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</si>
  <si>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</si>
  <si>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</si>
  <si>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</si>
  <si>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</si>
  <si>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</si>
  <si>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</si>
  <si>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</si>
  <si>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</si>
  <si>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</si>
  <si>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</si>
  <si>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</si>
  <si>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</si>
  <si>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</si>
  <si>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</si>
  <si>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</si>
  <si>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</si>
  <si>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</si>
  <si>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</si>
  <si>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</si>
  <si>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</si>
  <si>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</si>
  <si>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</si>
  <si>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</si>
  <si>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</si>
  <si>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</si>
  <si>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</si>
  <si>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</si>
  <si>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</si>
  <si>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</si>
  <si>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</si>
  <si>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</si>
  <si>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</si>
  <si>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</si>
  <si>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</si>
  <si>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</si>
  <si>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</si>
  <si>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</si>
  <si>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</si>
  <si>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</si>
  <si>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</si>
  <si>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</si>
  <si>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</si>
  <si>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</si>
  <si>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</si>
  <si>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</si>
  <si>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</si>
  <si>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</si>
  <si>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</si>
  <si>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</si>
  <si>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</si>
  <si>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</si>
  <si>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</si>
  <si>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</si>
  <si>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</si>
  <si>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</si>
  <si>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</si>
  <si>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</si>
  <si>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</si>
  <si>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</si>
  <si>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</si>
  <si>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</si>
  <si>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</si>
  <si>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</si>
  <si>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</si>
  <si>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</si>
  <si>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</si>
  <si>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</si>
  <si>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</si>
  <si>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</si>
  <si>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</si>
  <si>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</si>
  <si>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</si>
  <si>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</si>
  <si>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</si>
  <si>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</si>
  <si>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</si>
  <si>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</si>
  <si>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</si>
  <si>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</si>
  <si>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</si>
  <si>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</si>
  <si>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</si>
  <si>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</si>
  <si>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</si>
  <si>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</si>
  <si>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</si>
  <si>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</si>
  <si>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</si>
  <si>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</si>
  <si>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</si>
  <si>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</si>
  <si>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</si>
  <si>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</si>
  <si>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</si>
  <si>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</si>
  <si>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</si>
  <si>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</si>
  <si>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</si>
  <si>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</si>
  <si>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</si>
  <si>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</si>
  <si>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</si>
  <si>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</si>
  <si>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</si>
  <si>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</si>
  <si>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</si>
  <si>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</si>
  <si>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</si>
  <si>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</si>
  <si>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</si>
  <si>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</si>
  <si>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</si>
  <si>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</si>
  <si>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</si>
  <si>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</si>
  <si>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</si>
  <si>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</si>
  <si>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</si>
  <si>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</si>
  <si>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</si>
  <si>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</si>
  <si>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</si>
  <si>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</si>
  <si>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</si>
  <si>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</si>
  <si>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</si>
  <si>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</si>
  <si>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</si>
  <si>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</si>
  <si>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</si>
  <si>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</si>
  <si>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</si>
  <si>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</si>
  <si>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</si>
  <si>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</si>
  <si>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</si>
  <si>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</si>
  <si>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</si>
  <si>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</si>
  <si>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</si>
  <si>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</si>
  <si>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</si>
  <si>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</si>
  <si>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</si>
  <si>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</si>
  <si>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</si>
  <si>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</si>
  <si>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</si>
  <si>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</si>
  <si>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</si>
  <si>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</si>
  <si>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</si>
  <si>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</si>
  <si>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</si>
  <si>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</si>
  <si>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</si>
  <si>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</si>
  <si>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</si>
  <si>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</si>
  <si>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</si>
  <si>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</si>
  <si>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</si>
  <si>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</si>
  <si>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</si>
  <si>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</si>
  <si>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</si>
  <si>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</si>
  <si>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</si>
  <si>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</si>
  <si>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</si>
  <si>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</si>
  <si>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</si>
  <si>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</si>
  <si>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</si>
  <si>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</si>
  <si>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</si>
  <si>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</si>
  <si>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</si>
  <si>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</si>
  <si>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</si>
  <si>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</si>
  <si>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</si>
  <si>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</si>
  <si>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</si>
  <si>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</si>
  <si>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</si>
  <si>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</si>
  <si>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</si>
  <si>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</si>
  <si>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</si>
  <si>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</si>
  <si>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</si>
  <si>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</si>
  <si>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</si>
  <si>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</si>
  <si>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</si>
  <si>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</si>
  <si>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</si>
  <si>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</si>
  <si>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</si>
  <si>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</si>
  <si>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</si>
  <si>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</si>
  <si>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</si>
  <si>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</si>
  <si>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</si>
  <si>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</si>
  <si>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</si>
  <si>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</si>
  <si>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</si>
  <si>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</si>
  <si>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</si>
  <si>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</si>
  <si>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</si>
  <si>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</si>
  <si>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</si>
  <si>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</si>
  <si>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</si>
  <si>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</si>
  <si>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</si>
  <si>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</si>
  <si>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</si>
  <si>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</si>
  <si>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</si>
  <si>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</si>
  <si>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</si>
  <si>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</si>
  <si>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</si>
  <si>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</si>
  <si>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</si>
  <si>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</si>
  <si>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</si>
  <si>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</si>
  <si>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</si>
  <si>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</si>
  <si>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</si>
  <si>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</si>
  <si>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</si>
  <si>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</si>
  <si>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</si>
  <si>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</si>
  <si>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</si>
  <si>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</si>
  <si>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</si>
  <si>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</si>
  <si>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</si>
  <si>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</si>
  <si>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</si>
  <si>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</si>
  <si>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</si>
  <si>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</si>
  <si>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</si>
  <si>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</si>
  <si>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</si>
  <si>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</si>
  <si>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</si>
  <si>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</si>
  <si>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</si>
  <si>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</si>
  <si>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</si>
  <si>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</si>
  <si>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</si>
  <si>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</si>
  <si>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</si>
  <si>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</si>
  <si>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</si>
  <si>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</si>
  <si>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</si>
  <si>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</si>
  <si>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</si>
  <si>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</si>
  <si>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</si>
  <si>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</si>
  <si>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</si>
  <si>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</si>
  <si>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</si>
  <si>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</si>
  <si>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</si>
  <si>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</si>
  <si>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</si>
  <si>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</si>
  <si>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</si>
  <si>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</si>
  <si>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</si>
  <si>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</si>
  <si>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</si>
  <si>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</si>
  <si>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</si>
  <si>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</si>
  <si>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</si>
  <si>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</si>
  <si>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</si>
  <si>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</si>
  <si>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</si>
  <si>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</si>
  <si>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</si>
  <si>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</si>
  <si>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</si>
  <si>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</si>
  <si>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</si>
  <si>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</si>
  <si>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</si>
  <si>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</si>
  <si>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</si>
  <si>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</si>
  <si>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</si>
  <si>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</si>
  <si>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</si>
  <si>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</si>
  <si>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</si>
  <si>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</si>
  <si>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</si>
  <si>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</si>
  <si>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</si>
  <si>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</si>
  <si>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</si>
  <si>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</si>
  <si>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</si>
  <si>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</si>
  <si>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</si>
  <si>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</si>
  <si>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</si>
  <si>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</si>
  <si>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</si>
  <si>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</si>
  <si>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</si>
  <si>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</si>
  <si>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</si>
  <si>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</si>
  <si>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</si>
  <si>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</si>
  <si>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</si>
  <si>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</si>
  <si>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</si>
  <si>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</si>
  <si>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</si>
  <si>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</si>
  <si>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</si>
  <si>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</si>
  <si>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</si>
  <si>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</si>
  <si>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</si>
  <si>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</si>
  <si>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</si>
  <si>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</si>
  <si>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</si>
  <si>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</si>
  <si>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</si>
  <si>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</si>
  <si>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</si>
  <si>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</si>
  <si>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</si>
  <si>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</si>
  <si>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</si>
  <si>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</si>
  <si>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</si>
  <si>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</si>
  <si>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</si>
  <si>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</si>
  <si>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</si>
  <si>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</si>
  <si>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</si>
  <si>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</si>
  <si>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</si>
  <si>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</si>
  <si>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</si>
  <si>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</si>
  <si>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</si>
  <si>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</si>
  <si>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</si>
  <si>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</si>
  <si>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</si>
  <si>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</si>
  <si>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</si>
  <si>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</si>
  <si>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</si>
  <si>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</si>
  <si>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</si>
  <si>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</si>
  <si>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</si>
  <si>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</si>
  <si>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</si>
  <si>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</si>
  <si>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</si>
  <si>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</si>
  <si>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</si>
  <si>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</si>
  <si>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</si>
  <si>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</si>
  <si>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</si>
  <si>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</si>
  <si>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</si>
  <si>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</si>
  <si>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</si>
  <si>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</si>
  <si>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</si>
  <si>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</si>
  <si>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</si>
  <si>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</si>
  <si>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</si>
  <si>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</si>
  <si>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</si>
  <si>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</si>
  <si>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</si>
  <si>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</si>
  <si>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</si>
  <si>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</si>
  <si>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</si>
  <si>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</si>
  <si>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</si>
  <si>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</si>
  <si>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</si>
  <si>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</si>
  <si>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</si>
  <si>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</si>
  <si>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</si>
  <si>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</si>
  <si>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</si>
  <si>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</si>
  <si>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</si>
  <si>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</si>
  <si>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</si>
  <si>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</si>
  <si>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</si>
  <si>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</si>
  <si>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</si>
  <si>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</si>
  <si>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</si>
  <si>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</si>
  <si>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</si>
  <si>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</si>
  <si>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</si>
  <si>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</si>
  <si>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</si>
  <si>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</si>
  <si>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</si>
  <si>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</si>
  <si>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</si>
  <si>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</si>
  <si>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</si>
  <si>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</si>
  <si>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</si>
  <si>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</si>
  <si>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</si>
  <si>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</si>
  <si>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</si>
  <si>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</si>
  <si>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</si>
  <si>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</si>
  <si>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</si>
  <si>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</si>
  <si>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</si>
  <si>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</si>
  <si>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</si>
  <si>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</si>
  <si>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</si>
  <si>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</si>
  <si>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</si>
  <si>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</si>
  <si>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</si>
  <si>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</si>
  <si>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</si>
  <si>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</si>
  <si>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</si>
  <si>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</si>
  <si>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</si>
  <si>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</si>
  <si>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</si>
  <si>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</si>
  <si>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</si>
  <si>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</si>
  <si>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</si>
  <si>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</si>
  <si>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</si>
  <si>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</si>
  <si>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</si>
  <si>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</si>
  <si>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</si>
  <si>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</si>
  <si>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</si>
  <si>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</si>
  <si>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</si>
  <si>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</si>
  <si>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</si>
  <si>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</si>
  <si>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</si>
  <si>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</si>
  <si>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</si>
  <si>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</si>
  <si>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</si>
  <si>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</si>
  <si>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</si>
  <si>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</si>
  <si>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</si>
  <si>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</si>
  <si>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</si>
  <si>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</si>
  <si>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</si>
  <si>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</si>
  <si>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</si>
  <si>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</si>
  <si>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</si>
  <si>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</si>
  <si>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</si>
  <si>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</si>
  <si>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</si>
  <si>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</si>
  <si>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</si>
  <si>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</si>
  <si>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</si>
  <si>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</si>
  <si>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</si>
  <si>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</si>
  <si>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</si>
  <si>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</si>
  <si>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</si>
  <si>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</si>
  <si>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</si>
  <si>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</si>
  <si>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</si>
  <si>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</si>
  <si>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</si>
  <si>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</si>
  <si>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</si>
  <si>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</si>
  <si>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</si>
  <si>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</si>
  <si>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</si>
  <si>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</si>
  <si>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</si>
  <si>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</si>
  <si>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</si>
  <si>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</si>
  <si>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</si>
  <si>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</si>
  <si>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</si>
  <si>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</si>
  <si>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</si>
  <si>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</si>
  <si>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</si>
  <si>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</si>
  <si>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</si>
  <si>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</si>
  <si>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</si>
  <si>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</si>
  <si>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</si>
  <si>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</si>
  <si>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</si>
  <si>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</si>
  <si>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</si>
  <si>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</si>
  <si>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</si>
  <si>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</si>
  <si>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</si>
  <si>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</si>
  <si>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</si>
  <si>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</si>
  <si>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</si>
  <si>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</si>
  <si>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</si>
  <si>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</si>
  <si>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</si>
  <si>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</si>
  <si>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</si>
  <si>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</si>
  <si>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</si>
  <si>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</si>
  <si>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</si>
  <si>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</si>
  <si>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</si>
  <si>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</si>
  <si>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</si>
  <si>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</si>
  <si>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</si>
  <si>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</si>
  <si>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</si>
  <si>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</si>
  <si>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</si>
  <si>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</si>
  <si>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</si>
  <si>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</si>
  <si>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</si>
  <si>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</si>
  <si>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</si>
  <si>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</si>
  <si>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</si>
  <si>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</si>
  <si>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</si>
  <si>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</si>
  <si>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</si>
  <si>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</si>
  <si>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</si>
  <si>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</si>
  <si>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</si>
  <si>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</si>
  <si>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</si>
  <si>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</si>
  <si>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</si>
  <si>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</si>
  <si>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</si>
  <si>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</si>
  <si>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</si>
  <si>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</si>
  <si>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</si>
  <si>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</si>
  <si>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</si>
  <si>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</si>
  <si>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</si>
  <si>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</si>
  <si>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</si>
  <si>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</si>
  <si>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</si>
  <si>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</si>
  <si>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</si>
  <si>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</si>
  <si>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</si>
  <si>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</si>
  <si>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</si>
  <si>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</si>
  <si>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</si>
  <si>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</si>
  <si>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</si>
  <si>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</si>
  <si>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</si>
  <si>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</si>
  <si>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</si>
  <si>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</si>
  <si>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</si>
  <si>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</si>
  <si>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</si>
  <si>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</si>
  <si>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</si>
  <si>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</si>
  <si>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</si>
  <si>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</si>
  <si>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</si>
  <si>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</si>
  <si>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</si>
  <si>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</si>
  <si>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</si>
  <si>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</si>
  <si>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</si>
  <si>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</si>
  <si>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</si>
  <si>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</si>
  <si>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</si>
  <si>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</si>
  <si>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</si>
  <si>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</si>
  <si>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</si>
  <si>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</si>
  <si>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</si>
  <si>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</si>
  <si>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</si>
  <si>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</si>
  <si>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</si>
  <si>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</si>
  <si>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</si>
  <si>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</si>
  <si>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</si>
  <si>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</si>
  <si>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</si>
  <si>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</si>
  <si>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</si>
  <si>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</si>
  <si>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</si>
  <si>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</si>
  <si>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</si>
  <si>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</si>
  <si>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</si>
  <si>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</si>
  <si>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</si>
  <si>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</si>
  <si>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</si>
  <si>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</si>
  <si>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</si>
  <si>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</si>
  <si>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</si>
  <si>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</si>
  <si>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</si>
  <si>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</si>
  <si>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</si>
  <si>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</si>
  <si>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</si>
  <si>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</si>
  <si>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</si>
  <si>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</si>
  <si>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</si>
  <si>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</si>
  <si>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</si>
  <si>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</si>
  <si>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</si>
  <si>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</si>
  <si>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</si>
  <si>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</si>
  <si>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</si>
  <si>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</si>
  <si>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</si>
  <si>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</si>
  <si>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</si>
  <si>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</si>
  <si>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</si>
  <si>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</si>
  <si>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</si>
  <si>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</si>
  <si>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</si>
  <si>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</si>
  <si>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</si>
  <si>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</si>
  <si>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</si>
  <si>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</si>
  <si>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</si>
  <si>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</si>
  <si>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</si>
  <si>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</si>
  <si>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</si>
  <si>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</si>
  <si>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</si>
  <si>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</si>
  <si>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</si>
  <si>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</si>
  <si>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</si>
  <si>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</si>
  <si>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</si>
  <si>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</si>
  <si>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</si>
  <si>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</si>
  <si>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</si>
  <si>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</si>
  <si>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</si>
  <si>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</si>
  <si>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</si>
  <si>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</si>
  <si>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</si>
  <si>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</si>
  <si>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</si>
  <si>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</si>
  <si>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</si>
  <si>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</si>
  <si>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</si>
  <si>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</si>
  <si>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</si>
  <si>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</si>
  <si>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</si>
  <si>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</si>
  <si>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</si>
  <si>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</si>
  <si>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</si>
  <si>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</si>
  <si>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</si>
  <si>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</si>
  <si>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</si>
  <si>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</si>
  <si>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</si>
  <si>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</si>
  <si>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</si>
  <si>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</si>
  <si>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</si>
  <si>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</si>
  <si>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</si>
  <si>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</si>
  <si>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</si>
  <si>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</si>
  <si>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</si>
  <si>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</si>
  <si>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</si>
  <si>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</si>
  <si>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</si>
  <si>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</si>
  <si>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</si>
  <si>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</si>
  <si>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</si>
  <si>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</si>
  <si>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</si>
  <si>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</si>
  <si>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</si>
  <si>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</si>
  <si>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</si>
  <si>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</si>
  <si>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</si>
  <si>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</si>
  <si>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</si>
  <si>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</si>
  <si>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</si>
  <si>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</si>
  <si>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</si>
  <si>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</si>
  <si>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</si>
  <si>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</si>
  <si>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</si>
  <si>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</si>
  <si>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</si>
  <si>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</si>
  <si>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</si>
  <si>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</si>
  <si>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</si>
  <si>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</si>
  <si>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</si>
  <si>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</si>
  <si>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</si>
  <si>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</si>
  <si>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</si>
  <si>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</si>
  <si>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</si>
  <si>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</si>
  <si>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</si>
  <si>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</si>
  <si>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</si>
  <si>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</si>
  <si>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</si>
  <si>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</si>
  <si>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</si>
  <si>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</si>
  <si>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</si>
  <si>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</si>
  <si>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</si>
  <si>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</si>
  <si>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</si>
  <si>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</si>
  <si>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</si>
  <si>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</si>
  <si>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</si>
  <si>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</si>
  <si>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</si>
  <si>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</si>
  <si>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</si>
  <si>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</si>
  <si>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</si>
  <si>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</si>
  <si>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</si>
  <si>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</si>
  <si>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</si>
  <si>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</si>
  <si>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</si>
  <si>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</si>
  <si>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</si>
  <si>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</si>
  <si>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</si>
  <si>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</si>
  <si>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</si>
  <si>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</si>
  <si>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</si>
  <si>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</si>
  <si>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</si>
  <si>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</si>
  <si>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</si>
  <si>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</si>
  <si>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</si>
  <si>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</si>
  <si>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</si>
  <si>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</si>
  <si>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</si>
  <si>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</si>
  <si>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</si>
  <si>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</si>
  <si>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</si>
  <si>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</si>
  <si>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</si>
  <si>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</si>
  <si>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</si>
  <si>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</si>
  <si>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</si>
  <si>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</si>
  <si>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</si>
  <si>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</si>
  <si>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</si>
  <si>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</si>
  <si>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</si>
  <si>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</si>
  <si>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</si>
  <si>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</si>
  <si>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</si>
  <si>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</si>
  <si>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</si>
  <si>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</si>
  <si>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</si>
  <si>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</si>
  <si>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</si>
  <si>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</si>
  <si>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</si>
  <si>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</si>
  <si>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</si>
  <si>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</si>
  <si>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</si>
  <si>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</si>
  <si>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</si>
  <si>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</si>
  <si>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</si>
  <si>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</si>
  <si>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</si>
  <si>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</si>
  <si>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</si>
  <si>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</si>
  <si>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</si>
  <si>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</si>
  <si>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</si>
  <si>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</si>
  <si>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</si>
  <si>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</si>
  <si>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</si>
  <si>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</si>
  <si>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</si>
  <si>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</si>
  <si>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t>COFINACIACIÓN NACIÓN</t>
  </si>
  <si>
    <t>REGALÍAS</t>
  </si>
  <si>
    <t>RAFAEL ANTONIO RIVERA GÓMEZ - SECRETARIO DE INFRAESTRUCTURA</t>
  </si>
  <si>
    <t>AVALUOS Y COMPRA PREDIOS</t>
  </si>
  <si>
    <t>Número</t>
  </si>
  <si>
    <t>CONSTRUCCION, ADECUACIONES FISICAS</t>
  </si>
  <si>
    <t>ADQUISICION Y MONTAJE DE MAQUINAS</t>
  </si>
  <si>
    <t>MANTENIMIENTO</t>
  </si>
  <si>
    <t>ESTUDIOS Y DISEÑOS</t>
  </si>
  <si>
    <t>CONSTRUCCION DE OBRA FISICA</t>
  </si>
  <si>
    <t>INTERVENTORIA</t>
  </si>
  <si>
    <t>SUMINISTRO DE MATERIALES Y FERRETERIA</t>
  </si>
  <si>
    <t>REALIZACION DE OBRAS DE MANTENIMIENTO</t>
  </si>
  <si>
    <t>INTERVENTORIA DE OBRAS</t>
  </si>
  <si>
    <t>AVALUO Y COMPRA DE PREDIOS</t>
  </si>
  <si>
    <t>REALIZACION DE OBRA FISICA</t>
  </si>
  <si>
    <t>REALIZACION OBRA FISICA</t>
  </si>
  <si>
    <t>SUMINISTRO  DE MATERIALES Y FERRETERIA</t>
  </si>
  <si>
    <t>REALIZACION DE OBRA DE MANTENIMIENTO</t>
  </si>
  <si>
    <t>AVALUO Y COMPPRA DE PREDIOS</t>
  </si>
  <si>
    <t>OBRA FISICA</t>
  </si>
  <si>
    <t>INTERVENTORIAS</t>
  </si>
  <si>
    <t>IDENTIFICACION DE MECANISMO DE GESTION</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</si>
  <si>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</si>
  <si>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</si>
  <si>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</si>
  <si>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</si>
  <si>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</si>
  <si>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</si>
  <si>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</si>
  <si>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</si>
  <si>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</si>
  <si>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</si>
  <si>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</si>
  <si>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</si>
  <si>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</si>
  <si>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IMPLEMENTACIÓN DE ESQUEMAS DE OPERACIÓN Y MANTENIMIENTO DE EQUIPAMIENTO MUNICIPAL</t>
  </si>
  <si>
    <t>Ejecutado
1-Ener_30-Jun.</t>
  </si>
  <si>
    <t>CARACTERIZACIÓN DE BENEFICIARIOS 2018</t>
  </si>
  <si>
    <t>FUENTE: BASE DATOS CERTIFICADA POR EL DNP MAYO 2018</t>
  </si>
  <si>
    <t>SECRETARIO DE INFRAESTRUCTURA.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</si>
</sst>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3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C7" zoomScale="110" zoomScaleNormal="110" workbookViewId="0">
      <selection activeCell="R13" sqref="R13:R19"/>
    </sheetView>
  </sheetViews>
  <sheetFormatPr baseColWidth="10" defaultRowHeight="14.25" x14ac:dyDescent="0.2"/>
  <cols>
    <col min="1" max="1" width="4.5703125" style="114" customWidth="1"/>
    <col min="2" max="2" width="12.7109375" style="188" customWidth="1"/>
    <col min="3" max="3" width="14.7109375" style="188" customWidth="1"/>
    <col min="4" max="4" width="19" style="114" bestFit="1" customWidth="1"/>
    <col min="5" max="6" width="18.7109375" style="114" customWidth="1"/>
    <col min="7" max="8" width="8.7109375" style="114" customWidth="1"/>
    <col min="9" max="10" width="4.7109375" style="189" customWidth="1"/>
    <col min="11" max="11" width="8.7109375" style="189" customWidth="1"/>
    <col min="12" max="12" width="8.7109375" style="114" customWidth="1"/>
    <col min="13" max="13" width="27.7109375" style="114" customWidth="1"/>
    <col min="14" max="15" width="10.7109375" style="114" customWidth="1"/>
    <col min="16" max="17" width="11.7109375" style="114" customWidth="1"/>
    <col min="18" max="18" width="10.7109375" style="114" customWidth="1"/>
    <col min="19" max="19" width="16.140625" style="114" customWidth="1"/>
    <col min="20" max="26" width="10.7109375" style="114" customWidth="1"/>
    <col min="27" max="27" width="14.85546875" style="114" customWidth="1"/>
    <col min="28" max="28" width="10.7109375" style="114" customWidth="1"/>
    <col min="29" max="29" width="14.140625" style="114" customWidth="1"/>
    <col min="30" max="35" width="10.7109375" style="114" customWidth="1"/>
    <col min="36" max="36" width="10.7109375" style="190" customWidth="1"/>
    <col min="37" max="37" width="13.5703125" style="190" customWidth="1"/>
    <col min="38" max="41" width="5.140625" style="190" customWidth="1"/>
    <col min="42" max="42" width="6.28515625" style="190" customWidth="1"/>
    <col min="43" max="43" width="5.140625" style="190" customWidth="1"/>
    <col min="44" max="44" width="6.5703125" style="190" customWidth="1"/>
    <col min="45" max="46" width="5.85546875" style="190" customWidth="1"/>
    <col min="47" max="47" width="7.140625" style="190" customWidth="1"/>
    <col min="48" max="50" width="5.140625" style="190" customWidth="1"/>
    <col min="51" max="51" width="5.42578125" style="114" customWidth="1"/>
    <col min="52" max="52" width="4.85546875" style="114" customWidth="1"/>
    <col min="53" max="53" width="7.140625" style="114" customWidth="1"/>
    <col min="54" max="259" width="11.42578125" style="114"/>
    <col min="260" max="260" width="4.5703125" style="114" customWidth="1"/>
    <col min="261" max="261" width="15.85546875" style="114" customWidth="1"/>
    <col min="262" max="262" width="16.28515625" style="114" customWidth="1"/>
    <col min="263" max="264" width="16.7109375" style="114" customWidth="1"/>
    <col min="265" max="266" width="5.7109375" style="114" customWidth="1"/>
    <col min="267" max="268" width="3.7109375" style="114" customWidth="1"/>
    <col min="269" max="270" width="10.7109375" style="114" customWidth="1"/>
    <col min="271" max="271" width="27.7109375" style="114" customWidth="1"/>
    <col min="272" max="273" width="10.7109375" style="114" customWidth="1"/>
    <col min="274" max="275" width="11.7109375" style="114" customWidth="1"/>
    <col min="276" max="293" width="10.7109375" style="114" customWidth="1"/>
    <col min="294" max="306" width="5.140625" style="114" customWidth="1"/>
    <col min="307" max="307" width="5.42578125" style="114" customWidth="1"/>
    <col min="308" max="308" width="4.85546875" style="114" customWidth="1"/>
    <col min="309" max="309" width="7.140625" style="114" customWidth="1"/>
    <col min="310" max="515" width="11.42578125" style="114"/>
    <col min="516" max="516" width="4.5703125" style="114" customWidth="1"/>
    <col min="517" max="517" width="15.85546875" style="114" customWidth="1"/>
    <col min="518" max="518" width="16.28515625" style="114" customWidth="1"/>
    <col min="519" max="520" width="16.7109375" style="114" customWidth="1"/>
    <col min="521" max="522" width="5.7109375" style="114" customWidth="1"/>
    <col min="523" max="524" width="3.7109375" style="114" customWidth="1"/>
    <col min="525" max="526" width="10.7109375" style="114" customWidth="1"/>
    <col min="527" max="527" width="27.7109375" style="114" customWidth="1"/>
    <col min="528" max="529" width="10.7109375" style="114" customWidth="1"/>
    <col min="530" max="531" width="11.7109375" style="114" customWidth="1"/>
    <col min="532" max="549" width="10.7109375" style="114" customWidth="1"/>
    <col min="550" max="562" width="5.140625" style="114" customWidth="1"/>
    <col min="563" max="563" width="5.42578125" style="114" customWidth="1"/>
    <col min="564" max="564" width="4.85546875" style="114" customWidth="1"/>
    <col min="565" max="565" width="7.140625" style="114" customWidth="1"/>
    <col min="566" max="771" width="11.42578125" style="114"/>
    <col min="772" max="772" width="4.5703125" style="114" customWidth="1"/>
    <col min="773" max="773" width="15.85546875" style="114" customWidth="1"/>
    <col min="774" max="774" width="16.28515625" style="114" customWidth="1"/>
    <col min="775" max="776" width="16.7109375" style="114" customWidth="1"/>
    <col min="777" max="778" width="5.7109375" style="114" customWidth="1"/>
    <col min="779" max="780" width="3.7109375" style="114" customWidth="1"/>
    <col min="781" max="782" width="10.7109375" style="114" customWidth="1"/>
    <col min="783" max="783" width="27.7109375" style="114" customWidth="1"/>
    <col min="784" max="785" width="10.7109375" style="114" customWidth="1"/>
    <col min="786" max="787" width="11.7109375" style="114" customWidth="1"/>
    <col min="788" max="805" width="10.7109375" style="114" customWidth="1"/>
    <col min="806" max="818" width="5.140625" style="114" customWidth="1"/>
    <col min="819" max="819" width="5.42578125" style="114" customWidth="1"/>
    <col min="820" max="820" width="4.85546875" style="114" customWidth="1"/>
    <col min="821" max="821" width="7.140625" style="114" customWidth="1"/>
    <col min="822" max="1027" width="11.42578125" style="114"/>
    <col min="1028" max="1028" width="4.5703125" style="114" customWidth="1"/>
    <col min="1029" max="1029" width="15.85546875" style="114" customWidth="1"/>
    <col min="1030" max="1030" width="16.28515625" style="114" customWidth="1"/>
    <col min="1031" max="1032" width="16.7109375" style="114" customWidth="1"/>
    <col min="1033" max="1034" width="5.7109375" style="114" customWidth="1"/>
    <col min="1035" max="1036" width="3.7109375" style="114" customWidth="1"/>
    <col min="1037" max="1038" width="10.7109375" style="114" customWidth="1"/>
    <col min="1039" max="1039" width="27.7109375" style="114" customWidth="1"/>
    <col min="1040" max="1041" width="10.7109375" style="114" customWidth="1"/>
    <col min="1042" max="1043" width="11.7109375" style="114" customWidth="1"/>
    <col min="1044" max="1061" width="10.7109375" style="114" customWidth="1"/>
    <col min="1062" max="1074" width="5.140625" style="114" customWidth="1"/>
    <col min="1075" max="1075" width="5.42578125" style="114" customWidth="1"/>
    <col min="1076" max="1076" width="4.85546875" style="114" customWidth="1"/>
    <col min="1077" max="1077" width="7.140625" style="114" customWidth="1"/>
    <col min="1078" max="1283" width="11.42578125" style="114"/>
    <col min="1284" max="1284" width="4.5703125" style="114" customWidth="1"/>
    <col min="1285" max="1285" width="15.85546875" style="114" customWidth="1"/>
    <col min="1286" max="1286" width="16.28515625" style="114" customWidth="1"/>
    <col min="1287" max="1288" width="16.7109375" style="114" customWidth="1"/>
    <col min="1289" max="1290" width="5.7109375" style="114" customWidth="1"/>
    <col min="1291" max="1292" width="3.7109375" style="114" customWidth="1"/>
    <col min="1293" max="1294" width="10.7109375" style="114" customWidth="1"/>
    <col min="1295" max="1295" width="27.7109375" style="114" customWidth="1"/>
    <col min="1296" max="1297" width="10.7109375" style="114" customWidth="1"/>
    <col min="1298" max="1299" width="11.7109375" style="114" customWidth="1"/>
    <col min="1300" max="1317" width="10.7109375" style="114" customWidth="1"/>
    <col min="1318" max="1330" width="5.140625" style="114" customWidth="1"/>
    <col min="1331" max="1331" width="5.42578125" style="114" customWidth="1"/>
    <col min="1332" max="1332" width="4.85546875" style="114" customWidth="1"/>
    <col min="1333" max="1333" width="7.140625" style="114" customWidth="1"/>
    <col min="1334" max="1539" width="11.42578125" style="114"/>
    <col min="1540" max="1540" width="4.5703125" style="114" customWidth="1"/>
    <col min="1541" max="1541" width="15.85546875" style="114" customWidth="1"/>
    <col min="1542" max="1542" width="16.28515625" style="114" customWidth="1"/>
    <col min="1543" max="1544" width="16.7109375" style="114" customWidth="1"/>
    <col min="1545" max="1546" width="5.7109375" style="114" customWidth="1"/>
    <col min="1547" max="1548" width="3.7109375" style="114" customWidth="1"/>
    <col min="1549" max="1550" width="10.7109375" style="114" customWidth="1"/>
    <col min="1551" max="1551" width="27.7109375" style="114" customWidth="1"/>
    <col min="1552" max="1553" width="10.7109375" style="114" customWidth="1"/>
    <col min="1554" max="1555" width="11.7109375" style="114" customWidth="1"/>
    <col min="1556" max="1573" width="10.7109375" style="114" customWidth="1"/>
    <col min="1574" max="1586" width="5.140625" style="114" customWidth="1"/>
    <col min="1587" max="1587" width="5.42578125" style="114" customWidth="1"/>
    <col min="1588" max="1588" width="4.85546875" style="114" customWidth="1"/>
    <col min="1589" max="1589" width="7.140625" style="114" customWidth="1"/>
    <col min="1590" max="1795" width="11.42578125" style="114"/>
    <col min="1796" max="1796" width="4.5703125" style="114" customWidth="1"/>
    <col min="1797" max="1797" width="15.85546875" style="114" customWidth="1"/>
    <col min="1798" max="1798" width="16.28515625" style="114" customWidth="1"/>
    <col min="1799" max="1800" width="16.7109375" style="114" customWidth="1"/>
    <col min="1801" max="1802" width="5.7109375" style="114" customWidth="1"/>
    <col min="1803" max="1804" width="3.7109375" style="114" customWidth="1"/>
    <col min="1805" max="1806" width="10.7109375" style="114" customWidth="1"/>
    <col min="1807" max="1807" width="27.7109375" style="114" customWidth="1"/>
    <col min="1808" max="1809" width="10.7109375" style="114" customWidth="1"/>
    <col min="1810" max="1811" width="11.7109375" style="114" customWidth="1"/>
    <col min="1812" max="1829" width="10.7109375" style="114" customWidth="1"/>
    <col min="1830" max="1842" width="5.140625" style="114" customWidth="1"/>
    <col min="1843" max="1843" width="5.42578125" style="114" customWidth="1"/>
    <col min="1844" max="1844" width="4.85546875" style="114" customWidth="1"/>
    <col min="1845" max="1845" width="7.140625" style="114" customWidth="1"/>
    <col min="1846" max="2051" width="11.42578125" style="114"/>
    <col min="2052" max="2052" width="4.5703125" style="114" customWidth="1"/>
    <col min="2053" max="2053" width="15.85546875" style="114" customWidth="1"/>
    <col min="2054" max="2054" width="16.28515625" style="114" customWidth="1"/>
    <col min="2055" max="2056" width="16.7109375" style="114" customWidth="1"/>
    <col min="2057" max="2058" width="5.7109375" style="114" customWidth="1"/>
    <col min="2059" max="2060" width="3.7109375" style="114" customWidth="1"/>
    <col min="2061" max="2062" width="10.7109375" style="114" customWidth="1"/>
    <col min="2063" max="2063" width="27.7109375" style="114" customWidth="1"/>
    <col min="2064" max="2065" width="10.7109375" style="114" customWidth="1"/>
    <col min="2066" max="2067" width="11.7109375" style="114" customWidth="1"/>
    <col min="2068" max="2085" width="10.7109375" style="114" customWidth="1"/>
    <col min="2086" max="2098" width="5.140625" style="114" customWidth="1"/>
    <col min="2099" max="2099" width="5.42578125" style="114" customWidth="1"/>
    <col min="2100" max="2100" width="4.85546875" style="114" customWidth="1"/>
    <col min="2101" max="2101" width="7.140625" style="114" customWidth="1"/>
    <col min="2102" max="2307" width="11.42578125" style="114"/>
    <col min="2308" max="2308" width="4.5703125" style="114" customWidth="1"/>
    <col min="2309" max="2309" width="15.85546875" style="114" customWidth="1"/>
    <col min="2310" max="2310" width="16.28515625" style="114" customWidth="1"/>
    <col min="2311" max="2312" width="16.7109375" style="114" customWidth="1"/>
    <col min="2313" max="2314" width="5.7109375" style="114" customWidth="1"/>
    <col min="2315" max="2316" width="3.7109375" style="114" customWidth="1"/>
    <col min="2317" max="2318" width="10.7109375" style="114" customWidth="1"/>
    <col min="2319" max="2319" width="27.7109375" style="114" customWidth="1"/>
    <col min="2320" max="2321" width="10.7109375" style="114" customWidth="1"/>
    <col min="2322" max="2323" width="11.7109375" style="114" customWidth="1"/>
    <col min="2324" max="2341" width="10.7109375" style="114" customWidth="1"/>
    <col min="2342" max="2354" width="5.140625" style="114" customWidth="1"/>
    <col min="2355" max="2355" width="5.42578125" style="114" customWidth="1"/>
    <col min="2356" max="2356" width="4.85546875" style="114" customWidth="1"/>
    <col min="2357" max="2357" width="7.140625" style="114" customWidth="1"/>
    <col min="2358" max="2563" width="11.42578125" style="114"/>
    <col min="2564" max="2564" width="4.5703125" style="114" customWidth="1"/>
    <col min="2565" max="2565" width="15.85546875" style="114" customWidth="1"/>
    <col min="2566" max="2566" width="16.28515625" style="114" customWidth="1"/>
    <col min="2567" max="2568" width="16.7109375" style="114" customWidth="1"/>
    <col min="2569" max="2570" width="5.7109375" style="114" customWidth="1"/>
    <col min="2571" max="2572" width="3.7109375" style="114" customWidth="1"/>
    <col min="2573" max="2574" width="10.7109375" style="114" customWidth="1"/>
    <col min="2575" max="2575" width="27.7109375" style="114" customWidth="1"/>
    <col min="2576" max="2577" width="10.7109375" style="114" customWidth="1"/>
    <col min="2578" max="2579" width="11.7109375" style="114" customWidth="1"/>
    <col min="2580" max="2597" width="10.7109375" style="114" customWidth="1"/>
    <col min="2598" max="2610" width="5.140625" style="114" customWidth="1"/>
    <col min="2611" max="2611" width="5.42578125" style="114" customWidth="1"/>
    <col min="2612" max="2612" width="4.85546875" style="114" customWidth="1"/>
    <col min="2613" max="2613" width="7.140625" style="114" customWidth="1"/>
    <col min="2614" max="2819" width="11.42578125" style="114"/>
    <col min="2820" max="2820" width="4.5703125" style="114" customWidth="1"/>
    <col min="2821" max="2821" width="15.85546875" style="114" customWidth="1"/>
    <col min="2822" max="2822" width="16.28515625" style="114" customWidth="1"/>
    <col min="2823" max="2824" width="16.7109375" style="114" customWidth="1"/>
    <col min="2825" max="2826" width="5.7109375" style="114" customWidth="1"/>
    <col min="2827" max="2828" width="3.7109375" style="114" customWidth="1"/>
    <col min="2829" max="2830" width="10.7109375" style="114" customWidth="1"/>
    <col min="2831" max="2831" width="27.7109375" style="114" customWidth="1"/>
    <col min="2832" max="2833" width="10.7109375" style="114" customWidth="1"/>
    <col min="2834" max="2835" width="11.7109375" style="114" customWidth="1"/>
    <col min="2836" max="2853" width="10.7109375" style="114" customWidth="1"/>
    <col min="2854" max="2866" width="5.140625" style="114" customWidth="1"/>
    <col min="2867" max="2867" width="5.42578125" style="114" customWidth="1"/>
    <col min="2868" max="2868" width="4.85546875" style="114" customWidth="1"/>
    <col min="2869" max="2869" width="7.140625" style="114" customWidth="1"/>
    <col min="2870" max="3075" width="11.42578125" style="114"/>
    <col min="3076" max="3076" width="4.5703125" style="114" customWidth="1"/>
    <col min="3077" max="3077" width="15.85546875" style="114" customWidth="1"/>
    <col min="3078" max="3078" width="16.28515625" style="114" customWidth="1"/>
    <col min="3079" max="3080" width="16.7109375" style="114" customWidth="1"/>
    <col min="3081" max="3082" width="5.7109375" style="114" customWidth="1"/>
    <col min="3083" max="3084" width="3.7109375" style="114" customWidth="1"/>
    <col min="3085" max="3086" width="10.7109375" style="114" customWidth="1"/>
    <col min="3087" max="3087" width="27.7109375" style="114" customWidth="1"/>
    <col min="3088" max="3089" width="10.7109375" style="114" customWidth="1"/>
    <col min="3090" max="3091" width="11.7109375" style="114" customWidth="1"/>
    <col min="3092" max="3109" width="10.7109375" style="114" customWidth="1"/>
    <col min="3110" max="3122" width="5.140625" style="114" customWidth="1"/>
    <col min="3123" max="3123" width="5.42578125" style="114" customWidth="1"/>
    <col min="3124" max="3124" width="4.85546875" style="114" customWidth="1"/>
    <col min="3125" max="3125" width="7.140625" style="114" customWidth="1"/>
    <col min="3126" max="3331" width="11.42578125" style="114"/>
    <col min="3332" max="3332" width="4.5703125" style="114" customWidth="1"/>
    <col min="3333" max="3333" width="15.85546875" style="114" customWidth="1"/>
    <col min="3334" max="3334" width="16.28515625" style="114" customWidth="1"/>
    <col min="3335" max="3336" width="16.7109375" style="114" customWidth="1"/>
    <col min="3337" max="3338" width="5.7109375" style="114" customWidth="1"/>
    <col min="3339" max="3340" width="3.7109375" style="114" customWidth="1"/>
    <col min="3341" max="3342" width="10.7109375" style="114" customWidth="1"/>
    <col min="3343" max="3343" width="27.7109375" style="114" customWidth="1"/>
    <col min="3344" max="3345" width="10.7109375" style="114" customWidth="1"/>
    <col min="3346" max="3347" width="11.7109375" style="114" customWidth="1"/>
    <col min="3348" max="3365" width="10.7109375" style="114" customWidth="1"/>
    <col min="3366" max="3378" width="5.140625" style="114" customWidth="1"/>
    <col min="3379" max="3379" width="5.42578125" style="114" customWidth="1"/>
    <col min="3380" max="3380" width="4.85546875" style="114" customWidth="1"/>
    <col min="3381" max="3381" width="7.140625" style="114" customWidth="1"/>
    <col min="3382" max="3587" width="11.42578125" style="114"/>
    <col min="3588" max="3588" width="4.5703125" style="114" customWidth="1"/>
    <col min="3589" max="3589" width="15.85546875" style="114" customWidth="1"/>
    <col min="3590" max="3590" width="16.28515625" style="114" customWidth="1"/>
    <col min="3591" max="3592" width="16.7109375" style="114" customWidth="1"/>
    <col min="3593" max="3594" width="5.7109375" style="114" customWidth="1"/>
    <col min="3595" max="3596" width="3.7109375" style="114" customWidth="1"/>
    <col min="3597" max="3598" width="10.7109375" style="114" customWidth="1"/>
    <col min="3599" max="3599" width="27.7109375" style="114" customWidth="1"/>
    <col min="3600" max="3601" width="10.7109375" style="114" customWidth="1"/>
    <col min="3602" max="3603" width="11.7109375" style="114" customWidth="1"/>
    <col min="3604" max="3621" width="10.7109375" style="114" customWidth="1"/>
    <col min="3622" max="3634" width="5.140625" style="114" customWidth="1"/>
    <col min="3635" max="3635" width="5.42578125" style="114" customWidth="1"/>
    <col min="3636" max="3636" width="4.85546875" style="114" customWidth="1"/>
    <col min="3637" max="3637" width="7.140625" style="114" customWidth="1"/>
    <col min="3638" max="3843" width="11.42578125" style="114"/>
    <col min="3844" max="3844" width="4.5703125" style="114" customWidth="1"/>
    <col min="3845" max="3845" width="15.85546875" style="114" customWidth="1"/>
    <col min="3846" max="3846" width="16.28515625" style="114" customWidth="1"/>
    <col min="3847" max="3848" width="16.7109375" style="114" customWidth="1"/>
    <col min="3849" max="3850" width="5.7109375" style="114" customWidth="1"/>
    <col min="3851" max="3852" width="3.7109375" style="114" customWidth="1"/>
    <col min="3853" max="3854" width="10.7109375" style="114" customWidth="1"/>
    <col min="3855" max="3855" width="27.7109375" style="114" customWidth="1"/>
    <col min="3856" max="3857" width="10.7109375" style="114" customWidth="1"/>
    <col min="3858" max="3859" width="11.7109375" style="114" customWidth="1"/>
    <col min="3860" max="3877" width="10.7109375" style="114" customWidth="1"/>
    <col min="3878" max="3890" width="5.140625" style="114" customWidth="1"/>
    <col min="3891" max="3891" width="5.42578125" style="114" customWidth="1"/>
    <col min="3892" max="3892" width="4.85546875" style="114" customWidth="1"/>
    <col min="3893" max="3893" width="7.140625" style="114" customWidth="1"/>
    <col min="3894" max="4099" width="11.42578125" style="114"/>
    <col min="4100" max="4100" width="4.5703125" style="114" customWidth="1"/>
    <col min="4101" max="4101" width="15.85546875" style="114" customWidth="1"/>
    <col min="4102" max="4102" width="16.28515625" style="114" customWidth="1"/>
    <col min="4103" max="4104" width="16.7109375" style="114" customWidth="1"/>
    <col min="4105" max="4106" width="5.7109375" style="114" customWidth="1"/>
    <col min="4107" max="4108" width="3.7109375" style="114" customWidth="1"/>
    <col min="4109" max="4110" width="10.7109375" style="114" customWidth="1"/>
    <col min="4111" max="4111" width="27.7109375" style="114" customWidth="1"/>
    <col min="4112" max="4113" width="10.7109375" style="114" customWidth="1"/>
    <col min="4114" max="4115" width="11.7109375" style="114" customWidth="1"/>
    <col min="4116" max="4133" width="10.7109375" style="114" customWidth="1"/>
    <col min="4134" max="4146" width="5.140625" style="114" customWidth="1"/>
    <col min="4147" max="4147" width="5.42578125" style="114" customWidth="1"/>
    <col min="4148" max="4148" width="4.85546875" style="114" customWidth="1"/>
    <col min="4149" max="4149" width="7.140625" style="114" customWidth="1"/>
    <col min="4150" max="4355" width="11.42578125" style="114"/>
    <col min="4356" max="4356" width="4.5703125" style="114" customWidth="1"/>
    <col min="4357" max="4357" width="15.85546875" style="114" customWidth="1"/>
    <col min="4358" max="4358" width="16.28515625" style="114" customWidth="1"/>
    <col min="4359" max="4360" width="16.7109375" style="114" customWidth="1"/>
    <col min="4361" max="4362" width="5.7109375" style="114" customWidth="1"/>
    <col min="4363" max="4364" width="3.7109375" style="114" customWidth="1"/>
    <col min="4365" max="4366" width="10.7109375" style="114" customWidth="1"/>
    <col min="4367" max="4367" width="27.7109375" style="114" customWidth="1"/>
    <col min="4368" max="4369" width="10.7109375" style="114" customWidth="1"/>
    <col min="4370" max="4371" width="11.7109375" style="114" customWidth="1"/>
    <col min="4372" max="4389" width="10.7109375" style="114" customWidth="1"/>
    <col min="4390" max="4402" width="5.140625" style="114" customWidth="1"/>
    <col min="4403" max="4403" width="5.42578125" style="114" customWidth="1"/>
    <col min="4404" max="4404" width="4.85546875" style="114" customWidth="1"/>
    <col min="4405" max="4405" width="7.140625" style="114" customWidth="1"/>
    <col min="4406" max="4611" width="11.42578125" style="114"/>
    <col min="4612" max="4612" width="4.5703125" style="114" customWidth="1"/>
    <col min="4613" max="4613" width="15.85546875" style="114" customWidth="1"/>
    <col min="4614" max="4614" width="16.28515625" style="114" customWidth="1"/>
    <col min="4615" max="4616" width="16.7109375" style="114" customWidth="1"/>
    <col min="4617" max="4618" width="5.7109375" style="114" customWidth="1"/>
    <col min="4619" max="4620" width="3.7109375" style="114" customWidth="1"/>
    <col min="4621" max="4622" width="10.7109375" style="114" customWidth="1"/>
    <col min="4623" max="4623" width="27.7109375" style="114" customWidth="1"/>
    <col min="4624" max="4625" width="10.7109375" style="114" customWidth="1"/>
    <col min="4626" max="4627" width="11.7109375" style="114" customWidth="1"/>
    <col min="4628" max="4645" width="10.7109375" style="114" customWidth="1"/>
    <col min="4646" max="4658" width="5.140625" style="114" customWidth="1"/>
    <col min="4659" max="4659" width="5.42578125" style="114" customWidth="1"/>
    <col min="4660" max="4660" width="4.85546875" style="114" customWidth="1"/>
    <col min="4661" max="4661" width="7.140625" style="114" customWidth="1"/>
    <col min="4662" max="4867" width="11.42578125" style="114"/>
    <col min="4868" max="4868" width="4.5703125" style="114" customWidth="1"/>
    <col min="4869" max="4869" width="15.85546875" style="114" customWidth="1"/>
    <col min="4870" max="4870" width="16.28515625" style="114" customWidth="1"/>
    <col min="4871" max="4872" width="16.7109375" style="114" customWidth="1"/>
    <col min="4873" max="4874" width="5.7109375" style="114" customWidth="1"/>
    <col min="4875" max="4876" width="3.7109375" style="114" customWidth="1"/>
    <col min="4877" max="4878" width="10.7109375" style="114" customWidth="1"/>
    <col min="4879" max="4879" width="27.7109375" style="114" customWidth="1"/>
    <col min="4880" max="4881" width="10.7109375" style="114" customWidth="1"/>
    <col min="4882" max="4883" width="11.7109375" style="114" customWidth="1"/>
    <col min="4884" max="4901" width="10.7109375" style="114" customWidth="1"/>
    <col min="4902" max="4914" width="5.140625" style="114" customWidth="1"/>
    <col min="4915" max="4915" width="5.42578125" style="114" customWidth="1"/>
    <col min="4916" max="4916" width="4.85546875" style="114" customWidth="1"/>
    <col min="4917" max="4917" width="7.140625" style="114" customWidth="1"/>
    <col min="4918" max="5123" width="11.42578125" style="114"/>
    <col min="5124" max="5124" width="4.5703125" style="114" customWidth="1"/>
    <col min="5125" max="5125" width="15.85546875" style="114" customWidth="1"/>
    <col min="5126" max="5126" width="16.28515625" style="114" customWidth="1"/>
    <col min="5127" max="5128" width="16.7109375" style="114" customWidth="1"/>
    <col min="5129" max="5130" width="5.7109375" style="114" customWidth="1"/>
    <col min="5131" max="5132" width="3.7109375" style="114" customWidth="1"/>
    <col min="5133" max="5134" width="10.7109375" style="114" customWidth="1"/>
    <col min="5135" max="5135" width="27.7109375" style="114" customWidth="1"/>
    <col min="5136" max="5137" width="10.7109375" style="114" customWidth="1"/>
    <col min="5138" max="5139" width="11.7109375" style="114" customWidth="1"/>
    <col min="5140" max="5157" width="10.7109375" style="114" customWidth="1"/>
    <col min="5158" max="5170" width="5.140625" style="114" customWidth="1"/>
    <col min="5171" max="5171" width="5.42578125" style="114" customWidth="1"/>
    <col min="5172" max="5172" width="4.85546875" style="114" customWidth="1"/>
    <col min="5173" max="5173" width="7.140625" style="114" customWidth="1"/>
    <col min="5174" max="5379" width="11.42578125" style="114"/>
    <col min="5380" max="5380" width="4.5703125" style="114" customWidth="1"/>
    <col min="5381" max="5381" width="15.85546875" style="114" customWidth="1"/>
    <col min="5382" max="5382" width="16.28515625" style="114" customWidth="1"/>
    <col min="5383" max="5384" width="16.7109375" style="114" customWidth="1"/>
    <col min="5385" max="5386" width="5.7109375" style="114" customWidth="1"/>
    <col min="5387" max="5388" width="3.7109375" style="114" customWidth="1"/>
    <col min="5389" max="5390" width="10.7109375" style="114" customWidth="1"/>
    <col min="5391" max="5391" width="27.7109375" style="114" customWidth="1"/>
    <col min="5392" max="5393" width="10.7109375" style="114" customWidth="1"/>
    <col min="5394" max="5395" width="11.7109375" style="114" customWidth="1"/>
    <col min="5396" max="5413" width="10.7109375" style="114" customWidth="1"/>
    <col min="5414" max="5426" width="5.140625" style="114" customWidth="1"/>
    <col min="5427" max="5427" width="5.42578125" style="114" customWidth="1"/>
    <col min="5428" max="5428" width="4.85546875" style="114" customWidth="1"/>
    <col min="5429" max="5429" width="7.140625" style="114" customWidth="1"/>
    <col min="5430" max="5635" width="11.42578125" style="114"/>
    <col min="5636" max="5636" width="4.5703125" style="114" customWidth="1"/>
    <col min="5637" max="5637" width="15.85546875" style="114" customWidth="1"/>
    <col min="5638" max="5638" width="16.28515625" style="114" customWidth="1"/>
    <col min="5639" max="5640" width="16.7109375" style="114" customWidth="1"/>
    <col min="5641" max="5642" width="5.7109375" style="114" customWidth="1"/>
    <col min="5643" max="5644" width="3.7109375" style="114" customWidth="1"/>
    <col min="5645" max="5646" width="10.7109375" style="114" customWidth="1"/>
    <col min="5647" max="5647" width="27.7109375" style="114" customWidth="1"/>
    <col min="5648" max="5649" width="10.7109375" style="114" customWidth="1"/>
    <col min="5650" max="5651" width="11.7109375" style="114" customWidth="1"/>
    <col min="5652" max="5669" width="10.7109375" style="114" customWidth="1"/>
    <col min="5670" max="5682" width="5.140625" style="114" customWidth="1"/>
    <col min="5683" max="5683" width="5.42578125" style="114" customWidth="1"/>
    <col min="5684" max="5684" width="4.85546875" style="114" customWidth="1"/>
    <col min="5685" max="5685" width="7.140625" style="114" customWidth="1"/>
    <col min="5686" max="5891" width="11.42578125" style="114"/>
    <col min="5892" max="5892" width="4.5703125" style="114" customWidth="1"/>
    <col min="5893" max="5893" width="15.85546875" style="114" customWidth="1"/>
    <col min="5894" max="5894" width="16.28515625" style="114" customWidth="1"/>
    <col min="5895" max="5896" width="16.7109375" style="114" customWidth="1"/>
    <col min="5897" max="5898" width="5.7109375" style="114" customWidth="1"/>
    <col min="5899" max="5900" width="3.7109375" style="114" customWidth="1"/>
    <col min="5901" max="5902" width="10.7109375" style="114" customWidth="1"/>
    <col min="5903" max="5903" width="27.7109375" style="114" customWidth="1"/>
    <col min="5904" max="5905" width="10.7109375" style="114" customWidth="1"/>
    <col min="5906" max="5907" width="11.7109375" style="114" customWidth="1"/>
    <col min="5908" max="5925" width="10.7109375" style="114" customWidth="1"/>
    <col min="5926" max="5938" width="5.140625" style="114" customWidth="1"/>
    <col min="5939" max="5939" width="5.42578125" style="114" customWidth="1"/>
    <col min="5940" max="5940" width="4.85546875" style="114" customWidth="1"/>
    <col min="5941" max="5941" width="7.140625" style="114" customWidth="1"/>
    <col min="5942" max="6147" width="11.42578125" style="114"/>
    <col min="6148" max="6148" width="4.5703125" style="114" customWidth="1"/>
    <col min="6149" max="6149" width="15.85546875" style="114" customWidth="1"/>
    <col min="6150" max="6150" width="16.28515625" style="114" customWidth="1"/>
    <col min="6151" max="6152" width="16.7109375" style="114" customWidth="1"/>
    <col min="6153" max="6154" width="5.7109375" style="114" customWidth="1"/>
    <col min="6155" max="6156" width="3.7109375" style="114" customWidth="1"/>
    <col min="6157" max="6158" width="10.7109375" style="114" customWidth="1"/>
    <col min="6159" max="6159" width="27.7109375" style="114" customWidth="1"/>
    <col min="6160" max="6161" width="10.7109375" style="114" customWidth="1"/>
    <col min="6162" max="6163" width="11.7109375" style="114" customWidth="1"/>
    <col min="6164" max="6181" width="10.7109375" style="114" customWidth="1"/>
    <col min="6182" max="6194" width="5.140625" style="114" customWidth="1"/>
    <col min="6195" max="6195" width="5.42578125" style="114" customWidth="1"/>
    <col min="6196" max="6196" width="4.85546875" style="114" customWidth="1"/>
    <col min="6197" max="6197" width="7.140625" style="114" customWidth="1"/>
    <col min="6198" max="6403" width="11.42578125" style="114"/>
    <col min="6404" max="6404" width="4.5703125" style="114" customWidth="1"/>
    <col min="6405" max="6405" width="15.85546875" style="114" customWidth="1"/>
    <col min="6406" max="6406" width="16.28515625" style="114" customWidth="1"/>
    <col min="6407" max="6408" width="16.7109375" style="114" customWidth="1"/>
    <col min="6409" max="6410" width="5.7109375" style="114" customWidth="1"/>
    <col min="6411" max="6412" width="3.7109375" style="114" customWidth="1"/>
    <col min="6413" max="6414" width="10.7109375" style="114" customWidth="1"/>
    <col min="6415" max="6415" width="27.7109375" style="114" customWidth="1"/>
    <col min="6416" max="6417" width="10.7109375" style="114" customWidth="1"/>
    <col min="6418" max="6419" width="11.7109375" style="114" customWidth="1"/>
    <col min="6420" max="6437" width="10.7109375" style="114" customWidth="1"/>
    <col min="6438" max="6450" width="5.140625" style="114" customWidth="1"/>
    <col min="6451" max="6451" width="5.42578125" style="114" customWidth="1"/>
    <col min="6452" max="6452" width="4.85546875" style="114" customWidth="1"/>
    <col min="6453" max="6453" width="7.140625" style="114" customWidth="1"/>
    <col min="6454" max="6659" width="11.42578125" style="114"/>
    <col min="6660" max="6660" width="4.5703125" style="114" customWidth="1"/>
    <col min="6661" max="6661" width="15.85546875" style="114" customWidth="1"/>
    <col min="6662" max="6662" width="16.28515625" style="114" customWidth="1"/>
    <col min="6663" max="6664" width="16.7109375" style="114" customWidth="1"/>
    <col min="6665" max="6666" width="5.7109375" style="114" customWidth="1"/>
    <col min="6667" max="6668" width="3.7109375" style="114" customWidth="1"/>
    <col min="6669" max="6670" width="10.7109375" style="114" customWidth="1"/>
    <col min="6671" max="6671" width="27.7109375" style="114" customWidth="1"/>
    <col min="6672" max="6673" width="10.7109375" style="114" customWidth="1"/>
    <col min="6674" max="6675" width="11.7109375" style="114" customWidth="1"/>
    <col min="6676" max="6693" width="10.7109375" style="114" customWidth="1"/>
    <col min="6694" max="6706" width="5.140625" style="114" customWidth="1"/>
    <col min="6707" max="6707" width="5.42578125" style="114" customWidth="1"/>
    <col min="6708" max="6708" width="4.85546875" style="114" customWidth="1"/>
    <col min="6709" max="6709" width="7.140625" style="114" customWidth="1"/>
    <col min="6710" max="6915" width="11.42578125" style="114"/>
    <col min="6916" max="6916" width="4.5703125" style="114" customWidth="1"/>
    <col min="6917" max="6917" width="15.85546875" style="114" customWidth="1"/>
    <col min="6918" max="6918" width="16.28515625" style="114" customWidth="1"/>
    <col min="6919" max="6920" width="16.7109375" style="114" customWidth="1"/>
    <col min="6921" max="6922" width="5.7109375" style="114" customWidth="1"/>
    <col min="6923" max="6924" width="3.7109375" style="114" customWidth="1"/>
    <col min="6925" max="6926" width="10.7109375" style="114" customWidth="1"/>
    <col min="6927" max="6927" width="27.7109375" style="114" customWidth="1"/>
    <col min="6928" max="6929" width="10.7109375" style="114" customWidth="1"/>
    <col min="6930" max="6931" width="11.7109375" style="114" customWidth="1"/>
    <col min="6932" max="6949" width="10.7109375" style="114" customWidth="1"/>
    <col min="6950" max="6962" width="5.140625" style="114" customWidth="1"/>
    <col min="6963" max="6963" width="5.42578125" style="114" customWidth="1"/>
    <col min="6964" max="6964" width="4.85546875" style="114" customWidth="1"/>
    <col min="6965" max="6965" width="7.140625" style="114" customWidth="1"/>
    <col min="6966" max="7171" width="11.42578125" style="114"/>
    <col min="7172" max="7172" width="4.5703125" style="114" customWidth="1"/>
    <col min="7173" max="7173" width="15.85546875" style="114" customWidth="1"/>
    <col min="7174" max="7174" width="16.28515625" style="114" customWidth="1"/>
    <col min="7175" max="7176" width="16.7109375" style="114" customWidth="1"/>
    <col min="7177" max="7178" width="5.7109375" style="114" customWidth="1"/>
    <col min="7179" max="7180" width="3.7109375" style="114" customWidth="1"/>
    <col min="7181" max="7182" width="10.7109375" style="114" customWidth="1"/>
    <col min="7183" max="7183" width="27.7109375" style="114" customWidth="1"/>
    <col min="7184" max="7185" width="10.7109375" style="114" customWidth="1"/>
    <col min="7186" max="7187" width="11.7109375" style="114" customWidth="1"/>
    <col min="7188" max="7205" width="10.7109375" style="114" customWidth="1"/>
    <col min="7206" max="7218" width="5.140625" style="114" customWidth="1"/>
    <col min="7219" max="7219" width="5.42578125" style="114" customWidth="1"/>
    <col min="7220" max="7220" width="4.85546875" style="114" customWidth="1"/>
    <col min="7221" max="7221" width="7.140625" style="114" customWidth="1"/>
    <col min="7222" max="7427" width="11.42578125" style="114"/>
    <col min="7428" max="7428" width="4.5703125" style="114" customWidth="1"/>
    <col min="7429" max="7429" width="15.85546875" style="114" customWidth="1"/>
    <col min="7430" max="7430" width="16.28515625" style="114" customWidth="1"/>
    <col min="7431" max="7432" width="16.7109375" style="114" customWidth="1"/>
    <col min="7433" max="7434" width="5.7109375" style="114" customWidth="1"/>
    <col min="7435" max="7436" width="3.7109375" style="114" customWidth="1"/>
    <col min="7437" max="7438" width="10.7109375" style="114" customWidth="1"/>
    <col min="7439" max="7439" width="27.7109375" style="114" customWidth="1"/>
    <col min="7440" max="7441" width="10.7109375" style="114" customWidth="1"/>
    <col min="7442" max="7443" width="11.7109375" style="114" customWidth="1"/>
    <col min="7444" max="7461" width="10.7109375" style="114" customWidth="1"/>
    <col min="7462" max="7474" width="5.140625" style="114" customWidth="1"/>
    <col min="7475" max="7475" width="5.42578125" style="114" customWidth="1"/>
    <col min="7476" max="7476" width="4.85546875" style="114" customWidth="1"/>
    <col min="7477" max="7477" width="7.140625" style="114" customWidth="1"/>
    <col min="7478" max="7683" width="11.42578125" style="114"/>
    <col min="7684" max="7684" width="4.5703125" style="114" customWidth="1"/>
    <col min="7685" max="7685" width="15.85546875" style="114" customWidth="1"/>
    <col min="7686" max="7686" width="16.28515625" style="114" customWidth="1"/>
    <col min="7687" max="7688" width="16.7109375" style="114" customWidth="1"/>
    <col min="7689" max="7690" width="5.7109375" style="114" customWidth="1"/>
    <col min="7691" max="7692" width="3.7109375" style="114" customWidth="1"/>
    <col min="7693" max="7694" width="10.7109375" style="114" customWidth="1"/>
    <col min="7695" max="7695" width="27.7109375" style="114" customWidth="1"/>
    <col min="7696" max="7697" width="10.7109375" style="114" customWidth="1"/>
    <col min="7698" max="7699" width="11.7109375" style="114" customWidth="1"/>
    <col min="7700" max="7717" width="10.7109375" style="114" customWidth="1"/>
    <col min="7718" max="7730" width="5.140625" style="114" customWidth="1"/>
    <col min="7731" max="7731" width="5.42578125" style="114" customWidth="1"/>
    <col min="7732" max="7732" width="4.85546875" style="114" customWidth="1"/>
    <col min="7733" max="7733" width="7.140625" style="114" customWidth="1"/>
    <col min="7734" max="7939" width="11.42578125" style="114"/>
    <col min="7940" max="7940" width="4.5703125" style="114" customWidth="1"/>
    <col min="7941" max="7941" width="15.85546875" style="114" customWidth="1"/>
    <col min="7942" max="7942" width="16.28515625" style="114" customWidth="1"/>
    <col min="7943" max="7944" width="16.7109375" style="114" customWidth="1"/>
    <col min="7945" max="7946" width="5.7109375" style="114" customWidth="1"/>
    <col min="7947" max="7948" width="3.7109375" style="114" customWidth="1"/>
    <col min="7949" max="7950" width="10.7109375" style="114" customWidth="1"/>
    <col min="7951" max="7951" width="27.7109375" style="114" customWidth="1"/>
    <col min="7952" max="7953" width="10.7109375" style="114" customWidth="1"/>
    <col min="7954" max="7955" width="11.7109375" style="114" customWidth="1"/>
    <col min="7956" max="7973" width="10.7109375" style="114" customWidth="1"/>
    <col min="7974" max="7986" width="5.140625" style="114" customWidth="1"/>
    <col min="7987" max="7987" width="5.42578125" style="114" customWidth="1"/>
    <col min="7988" max="7988" width="4.85546875" style="114" customWidth="1"/>
    <col min="7989" max="7989" width="7.140625" style="114" customWidth="1"/>
    <col min="7990" max="8195" width="11.42578125" style="114"/>
    <col min="8196" max="8196" width="4.5703125" style="114" customWidth="1"/>
    <col min="8197" max="8197" width="15.85546875" style="114" customWidth="1"/>
    <col min="8198" max="8198" width="16.28515625" style="114" customWidth="1"/>
    <col min="8199" max="8200" width="16.7109375" style="114" customWidth="1"/>
    <col min="8201" max="8202" width="5.7109375" style="114" customWidth="1"/>
    <col min="8203" max="8204" width="3.7109375" style="114" customWidth="1"/>
    <col min="8205" max="8206" width="10.7109375" style="114" customWidth="1"/>
    <col min="8207" max="8207" width="27.7109375" style="114" customWidth="1"/>
    <col min="8208" max="8209" width="10.7109375" style="114" customWidth="1"/>
    <col min="8210" max="8211" width="11.7109375" style="114" customWidth="1"/>
    <col min="8212" max="8229" width="10.7109375" style="114" customWidth="1"/>
    <col min="8230" max="8242" width="5.140625" style="114" customWidth="1"/>
    <col min="8243" max="8243" width="5.42578125" style="114" customWidth="1"/>
    <col min="8244" max="8244" width="4.85546875" style="114" customWidth="1"/>
    <col min="8245" max="8245" width="7.140625" style="114" customWidth="1"/>
    <col min="8246" max="8451" width="11.42578125" style="114"/>
    <col min="8452" max="8452" width="4.5703125" style="114" customWidth="1"/>
    <col min="8453" max="8453" width="15.85546875" style="114" customWidth="1"/>
    <col min="8454" max="8454" width="16.28515625" style="114" customWidth="1"/>
    <col min="8455" max="8456" width="16.7109375" style="114" customWidth="1"/>
    <col min="8457" max="8458" width="5.7109375" style="114" customWidth="1"/>
    <col min="8459" max="8460" width="3.7109375" style="114" customWidth="1"/>
    <col min="8461" max="8462" width="10.7109375" style="114" customWidth="1"/>
    <col min="8463" max="8463" width="27.7109375" style="114" customWidth="1"/>
    <col min="8464" max="8465" width="10.7109375" style="114" customWidth="1"/>
    <col min="8466" max="8467" width="11.7109375" style="114" customWidth="1"/>
    <col min="8468" max="8485" width="10.7109375" style="114" customWidth="1"/>
    <col min="8486" max="8498" width="5.140625" style="114" customWidth="1"/>
    <col min="8499" max="8499" width="5.42578125" style="114" customWidth="1"/>
    <col min="8500" max="8500" width="4.85546875" style="114" customWidth="1"/>
    <col min="8501" max="8501" width="7.140625" style="114" customWidth="1"/>
    <col min="8502" max="8707" width="11.42578125" style="114"/>
    <col min="8708" max="8708" width="4.5703125" style="114" customWidth="1"/>
    <col min="8709" max="8709" width="15.85546875" style="114" customWidth="1"/>
    <col min="8710" max="8710" width="16.28515625" style="114" customWidth="1"/>
    <col min="8711" max="8712" width="16.7109375" style="114" customWidth="1"/>
    <col min="8713" max="8714" width="5.7109375" style="114" customWidth="1"/>
    <col min="8715" max="8716" width="3.7109375" style="114" customWidth="1"/>
    <col min="8717" max="8718" width="10.7109375" style="114" customWidth="1"/>
    <col min="8719" max="8719" width="27.7109375" style="114" customWidth="1"/>
    <col min="8720" max="8721" width="10.7109375" style="114" customWidth="1"/>
    <col min="8722" max="8723" width="11.7109375" style="114" customWidth="1"/>
    <col min="8724" max="8741" width="10.7109375" style="114" customWidth="1"/>
    <col min="8742" max="8754" width="5.140625" style="114" customWidth="1"/>
    <col min="8755" max="8755" width="5.42578125" style="114" customWidth="1"/>
    <col min="8756" max="8756" width="4.85546875" style="114" customWidth="1"/>
    <col min="8757" max="8757" width="7.140625" style="114" customWidth="1"/>
    <col min="8758" max="8963" width="11.42578125" style="114"/>
    <col min="8964" max="8964" width="4.5703125" style="114" customWidth="1"/>
    <col min="8965" max="8965" width="15.85546875" style="114" customWidth="1"/>
    <col min="8966" max="8966" width="16.28515625" style="114" customWidth="1"/>
    <col min="8967" max="8968" width="16.7109375" style="114" customWidth="1"/>
    <col min="8969" max="8970" width="5.7109375" style="114" customWidth="1"/>
    <col min="8971" max="8972" width="3.7109375" style="114" customWidth="1"/>
    <col min="8973" max="8974" width="10.7109375" style="114" customWidth="1"/>
    <col min="8975" max="8975" width="27.7109375" style="114" customWidth="1"/>
    <col min="8976" max="8977" width="10.7109375" style="114" customWidth="1"/>
    <col min="8978" max="8979" width="11.7109375" style="114" customWidth="1"/>
    <col min="8980" max="8997" width="10.7109375" style="114" customWidth="1"/>
    <col min="8998" max="9010" width="5.140625" style="114" customWidth="1"/>
    <col min="9011" max="9011" width="5.42578125" style="114" customWidth="1"/>
    <col min="9012" max="9012" width="4.85546875" style="114" customWidth="1"/>
    <col min="9013" max="9013" width="7.140625" style="114" customWidth="1"/>
    <col min="9014" max="9219" width="11.42578125" style="114"/>
    <col min="9220" max="9220" width="4.5703125" style="114" customWidth="1"/>
    <col min="9221" max="9221" width="15.85546875" style="114" customWidth="1"/>
    <col min="9222" max="9222" width="16.28515625" style="114" customWidth="1"/>
    <col min="9223" max="9224" width="16.7109375" style="114" customWidth="1"/>
    <col min="9225" max="9226" width="5.7109375" style="114" customWidth="1"/>
    <col min="9227" max="9228" width="3.7109375" style="114" customWidth="1"/>
    <col min="9229" max="9230" width="10.7109375" style="114" customWidth="1"/>
    <col min="9231" max="9231" width="27.7109375" style="114" customWidth="1"/>
    <col min="9232" max="9233" width="10.7109375" style="114" customWidth="1"/>
    <col min="9234" max="9235" width="11.7109375" style="114" customWidth="1"/>
    <col min="9236" max="9253" width="10.7109375" style="114" customWidth="1"/>
    <col min="9254" max="9266" width="5.140625" style="114" customWidth="1"/>
    <col min="9267" max="9267" width="5.42578125" style="114" customWidth="1"/>
    <col min="9268" max="9268" width="4.85546875" style="114" customWidth="1"/>
    <col min="9269" max="9269" width="7.140625" style="114" customWidth="1"/>
    <col min="9270" max="9475" width="11.42578125" style="114"/>
    <col min="9476" max="9476" width="4.5703125" style="114" customWidth="1"/>
    <col min="9477" max="9477" width="15.85546875" style="114" customWidth="1"/>
    <col min="9478" max="9478" width="16.28515625" style="114" customWidth="1"/>
    <col min="9479" max="9480" width="16.7109375" style="114" customWidth="1"/>
    <col min="9481" max="9482" width="5.7109375" style="114" customWidth="1"/>
    <col min="9483" max="9484" width="3.7109375" style="114" customWidth="1"/>
    <col min="9485" max="9486" width="10.7109375" style="114" customWidth="1"/>
    <col min="9487" max="9487" width="27.7109375" style="114" customWidth="1"/>
    <col min="9488" max="9489" width="10.7109375" style="114" customWidth="1"/>
    <col min="9490" max="9491" width="11.7109375" style="114" customWidth="1"/>
    <col min="9492" max="9509" width="10.7109375" style="114" customWidth="1"/>
    <col min="9510" max="9522" width="5.140625" style="114" customWidth="1"/>
    <col min="9523" max="9523" width="5.42578125" style="114" customWidth="1"/>
    <col min="9524" max="9524" width="4.85546875" style="114" customWidth="1"/>
    <col min="9525" max="9525" width="7.140625" style="114" customWidth="1"/>
    <col min="9526" max="9731" width="11.42578125" style="114"/>
    <col min="9732" max="9732" width="4.5703125" style="114" customWidth="1"/>
    <col min="9733" max="9733" width="15.85546875" style="114" customWidth="1"/>
    <col min="9734" max="9734" width="16.28515625" style="114" customWidth="1"/>
    <col min="9735" max="9736" width="16.7109375" style="114" customWidth="1"/>
    <col min="9737" max="9738" width="5.7109375" style="114" customWidth="1"/>
    <col min="9739" max="9740" width="3.7109375" style="114" customWidth="1"/>
    <col min="9741" max="9742" width="10.7109375" style="114" customWidth="1"/>
    <col min="9743" max="9743" width="27.7109375" style="114" customWidth="1"/>
    <col min="9744" max="9745" width="10.7109375" style="114" customWidth="1"/>
    <col min="9746" max="9747" width="11.7109375" style="114" customWidth="1"/>
    <col min="9748" max="9765" width="10.7109375" style="114" customWidth="1"/>
    <col min="9766" max="9778" width="5.140625" style="114" customWidth="1"/>
    <col min="9779" max="9779" width="5.42578125" style="114" customWidth="1"/>
    <col min="9780" max="9780" width="4.85546875" style="114" customWidth="1"/>
    <col min="9781" max="9781" width="7.140625" style="114" customWidth="1"/>
    <col min="9782" max="9987" width="11.42578125" style="114"/>
    <col min="9988" max="9988" width="4.5703125" style="114" customWidth="1"/>
    <col min="9989" max="9989" width="15.85546875" style="114" customWidth="1"/>
    <col min="9990" max="9990" width="16.28515625" style="114" customWidth="1"/>
    <col min="9991" max="9992" width="16.7109375" style="114" customWidth="1"/>
    <col min="9993" max="9994" width="5.7109375" style="114" customWidth="1"/>
    <col min="9995" max="9996" width="3.7109375" style="114" customWidth="1"/>
    <col min="9997" max="9998" width="10.7109375" style="114" customWidth="1"/>
    <col min="9999" max="9999" width="27.7109375" style="114" customWidth="1"/>
    <col min="10000" max="10001" width="10.7109375" style="114" customWidth="1"/>
    <col min="10002" max="10003" width="11.7109375" style="114" customWidth="1"/>
    <col min="10004" max="10021" width="10.7109375" style="114" customWidth="1"/>
    <col min="10022" max="10034" width="5.140625" style="114" customWidth="1"/>
    <col min="10035" max="10035" width="5.42578125" style="114" customWidth="1"/>
    <col min="10036" max="10036" width="4.85546875" style="114" customWidth="1"/>
    <col min="10037" max="10037" width="7.140625" style="114" customWidth="1"/>
    <col min="10038" max="10243" width="11.42578125" style="114"/>
    <col min="10244" max="10244" width="4.5703125" style="114" customWidth="1"/>
    <col min="10245" max="10245" width="15.85546875" style="114" customWidth="1"/>
    <col min="10246" max="10246" width="16.28515625" style="114" customWidth="1"/>
    <col min="10247" max="10248" width="16.7109375" style="114" customWidth="1"/>
    <col min="10249" max="10250" width="5.7109375" style="114" customWidth="1"/>
    <col min="10251" max="10252" width="3.7109375" style="114" customWidth="1"/>
    <col min="10253" max="10254" width="10.7109375" style="114" customWidth="1"/>
    <col min="10255" max="10255" width="27.7109375" style="114" customWidth="1"/>
    <col min="10256" max="10257" width="10.7109375" style="114" customWidth="1"/>
    <col min="10258" max="10259" width="11.7109375" style="114" customWidth="1"/>
    <col min="10260" max="10277" width="10.7109375" style="114" customWidth="1"/>
    <col min="10278" max="10290" width="5.140625" style="114" customWidth="1"/>
    <col min="10291" max="10291" width="5.42578125" style="114" customWidth="1"/>
    <col min="10292" max="10292" width="4.85546875" style="114" customWidth="1"/>
    <col min="10293" max="10293" width="7.140625" style="114" customWidth="1"/>
    <col min="10294" max="10499" width="11.42578125" style="114"/>
    <col min="10500" max="10500" width="4.5703125" style="114" customWidth="1"/>
    <col min="10501" max="10501" width="15.85546875" style="114" customWidth="1"/>
    <col min="10502" max="10502" width="16.28515625" style="114" customWidth="1"/>
    <col min="10503" max="10504" width="16.7109375" style="114" customWidth="1"/>
    <col min="10505" max="10506" width="5.7109375" style="114" customWidth="1"/>
    <col min="10507" max="10508" width="3.7109375" style="114" customWidth="1"/>
    <col min="10509" max="10510" width="10.7109375" style="114" customWidth="1"/>
    <col min="10511" max="10511" width="27.7109375" style="114" customWidth="1"/>
    <col min="10512" max="10513" width="10.7109375" style="114" customWidth="1"/>
    <col min="10514" max="10515" width="11.7109375" style="114" customWidth="1"/>
    <col min="10516" max="10533" width="10.7109375" style="114" customWidth="1"/>
    <col min="10534" max="10546" width="5.140625" style="114" customWidth="1"/>
    <col min="10547" max="10547" width="5.42578125" style="114" customWidth="1"/>
    <col min="10548" max="10548" width="4.85546875" style="114" customWidth="1"/>
    <col min="10549" max="10549" width="7.140625" style="114" customWidth="1"/>
    <col min="10550" max="10755" width="11.42578125" style="114"/>
    <col min="10756" max="10756" width="4.5703125" style="114" customWidth="1"/>
    <col min="10757" max="10757" width="15.85546875" style="114" customWidth="1"/>
    <col min="10758" max="10758" width="16.28515625" style="114" customWidth="1"/>
    <col min="10759" max="10760" width="16.7109375" style="114" customWidth="1"/>
    <col min="10761" max="10762" width="5.7109375" style="114" customWidth="1"/>
    <col min="10763" max="10764" width="3.7109375" style="114" customWidth="1"/>
    <col min="10765" max="10766" width="10.7109375" style="114" customWidth="1"/>
    <col min="10767" max="10767" width="27.7109375" style="114" customWidth="1"/>
    <col min="10768" max="10769" width="10.7109375" style="114" customWidth="1"/>
    <col min="10770" max="10771" width="11.7109375" style="114" customWidth="1"/>
    <col min="10772" max="10789" width="10.7109375" style="114" customWidth="1"/>
    <col min="10790" max="10802" width="5.140625" style="114" customWidth="1"/>
    <col min="10803" max="10803" width="5.42578125" style="114" customWidth="1"/>
    <col min="10804" max="10804" width="4.85546875" style="114" customWidth="1"/>
    <col min="10805" max="10805" width="7.140625" style="114" customWidth="1"/>
    <col min="10806" max="11011" width="11.42578125" style="114"/>
    <col min="11012" max="11012" width="4.5703125" style="114" customWidth="1"/>
    <col min="11013" max="11013" width="15.85546875" style="114" customWidth="1"/>
    <col min="11014" max="11014" width="16.28515625" style="114" customWidth="1"/>
    <col min="11015" max="11016" width="16.7109375" style="114" customWidth="1"/>
    <col min="11017" max="11018" width="5.7109375" style="114" customWidth="1"/>
    <col min="11019" max="11020" width="3.7109375" style="114" customWidth="1"/>
    <col min="11021" max="11022" width="10.7109375" style="114" customWidth="1"/>
    <col min="11023" max="11023" width="27.7109375" style="114" customWidth="1"/>
    <col min="11024" max="11025" width="10.7109375" style="114" customWidth="1"/>
    <col min="11026" max="11027" width="11.7109375" style="114" customWidth="1"/>
    <col min="11028" max="11045" width="10.7109375" style="114" customWidth="1"/>
    <col min="11046" max="11058" width="5.140625" style="114" customWidth="1"/>
    <col min="11059" max="11059" width="5.42578125" style="114" customWidth="1"/>
    <col min="11060" max="11060" width="4.85546875" style="114" customWidth="1"/>
    <col min="11061" max="11061" width="7.140625" style="114" customWidth="1"/>
    <col min="11062" max="11267" width="11.42578125" style="114"/>
    <col min="11268" max="11268" width="4.5703125" style="114" customWidth="1"/>
    <col min="11269" max="11269" width="15.85546875" style="114" customWidth="1"/>
    <col min="11270" max="11270" width="16.28515625" style="114" customWidth="1"/>
    <col min="11271" max="11272" width="16.7109375" style="114" customWidth="1"/>
    <col min="11273" max="11274" width="5.7109375" style="114" customWidth="1"/>
    <col min="11275" max="11276" width="3.7109375" style="114" customWidth="1"/>
    <col min="11277" max="11278" width="10.7109375" style="114" customWidth="1"/>
    <col min="11279" max="11279" width="27.7109375" style="114" customWidth="1"/>
    <col min="11280" max="11281" width="10.7109375" style="114" customWidth="1"/>
    <col min="11282" max="11283" width="11.7109375" style="114" customWidth="1"/>
    <col min="11284" max="11301" width="10.7109375" style="114" customWidth="1"/>
    <col min="11302" max="11314" width="5.140625" style="114" customWidth="1"/>
    <col min="11315" max="11315" width="5.42578125" style="114" customWidth="1"/>
    <col min="11316" max="11316" width="4.85546875" style="114" customWidth="1"/>
    <col min="11317" max="11317" width="7.140625" style="114" customWidth="1"/>
    <col min="11318" max="11523" width="11.42578125" style="114"/>
    <col min="11524" max="11524" width="4.5703125" style="114" customWidth="1"/>
    <col min="11525" max="11525" width="15.85546875" style="114" customWidth="1"/>
    <col min="11526" max="11526" width="16.28515625" style="114" customWidth="1"/>
    <col min="11527" max="11528" width="16.7109375" style="114" customWidth="1"/>
    <col min="11529" max="11530" width="5.7109375" style="114" customWidth="1"/>
    <col min="11531" max="11532" width="3.7109375" style="114" customWidth="1"/>
    <col min="11533" max="11534" width="10.7109375" style="114" customWidth="1"/>
    <col min="11535" max="11535" width="27.7109375" style="114" customWidth="1"/>
    <col min="11536" max="11537" width="10.7109375" style="114" customWidth="1"/>
    <col min="11538" max="11539" width="11.7109375" style="114" customWidth="1"/>
    <col min="11540" max="11557" width="10.7109375" style="114" customWidth="1"/>
    <col min="11558" max="11570" width="5.140625" style="114" customWidth="1"/>
    <col min="11571" max="11571" width="5.42578125" style="114" customWidth="1"/>
    <col min="11572" max="11572" width="4.85546875" style="114" customWidth="1"/>
    <col min="11573" max="11573" width="7.140625" style="114" customWidth="1"/>
    <col min="11574" max="11779" width="11.42578125" style="114"/>
    <col min="11780" max="11780" width="4.5703125" style="114" customWidth="1"/>
    <col min="11781" max="11781" width="15.85546875" style="114" customWidth="1"/>
    <col min="11782" max="11782" width="16.28515625" style="114" customWidth="1"/>
    <col min="11783" max="11784" width="16.7109375" style="114" customWidth="1"/>
    <col min="11785" max="11786" width="5.7109375" style="114" customWidth="1"/>
    <col min="11787" max="11788" width="3.7109375" style="114" customWidth="1"/>
    <col min="11789" max="11790" width="10.7109375" style="114" customWidth="1"/>
    <col min="11791" max="11791" width="27.7109375" style="114" customWidth="1"/>
    <col min="11792" max="11793" width="10.7109375" style="114" customWidth="1"/>
    <col min="11794" max="11795" width="11.7109375" style="114" customWidth="1"/>
    <col min="11796" max="11813" width="10.7109375" style="114" customWidth="1"/>
    <col min="11814" max="11826" width="5.140625" style="114" customWidth="1"/>
    <col min="11827" max="11827" width="5.42578125" style="114" customWidth="1"/>
    <col min="11828" max="11828" width="4.85546875" style="114" customWidth="1"/>
    <col min="11829" max="11829" width="7.140625" style="114" customWidth="1"/>
    <col min="11830" max="12035" width="11.42578125" style="114"/>
    <col min="12036" max="12036" width="4.5703125" style="114" customWidth="1"/>
    <col min="12037" max="12037" width="15.85546875" style="114" customWidth="1"/>
    <col min="12038" max="12038" width="16.28515625" style="114" customWidth="1"/>
    <col min="12039" max="12040" width="16.7109375" style="114" customWidth="1"/>
    <col min="12041" max="12042" width="5.7109375" style="114" customWidth="1"/>
    <col min="12043" max="12044" width="3.7109375" style="114" customWidth="1"/>
    <col min="12045" max="12046" width="10.7109375" style="114" customWidth="1"/>
    <col min="12047" max="12047" width="27.7109375" style="114" customWidth="1"/>
    <col min="12048" max="12049" width="10.7109375" style="114" customWidth="1"/>
    <col min="12050" max="12051" width="11.7109375" style="114" customWidth="1"/>
    <col min="12052" max="12069" width="10.7109375" style="114" customWidth="1"/>
    <col min="12070" max="12082" width="5.140625" style="114" customWidth="1"/>
    <col min="12083" max="12083" width="5.42578125" style="114" customWidth="1"/>
    <col min="12084" max="12084" width="4.85546875" style="114" customWidth="1"/>
    <col min="12085" max="12085" width="7.140625" style="114" customWidth="1"/>
    <col min="12086" max="12291" width="11.42578125" style="114"/>
    <col min="12292" max="12292" width="4.5703125" style="114" customWidth="1"/>
    <col min="12293" max="12293" width="15.85546875" style="114" customWidth="1"/>
    <col min="12294" max="12294" width="16.28515625" style="114" customWidth="1"/>
    <col min="12295" max="12296" width="16.7109375" style="114" customWidth="1"/>
    <col min="12297" max="12298" width="5.7109375" style="114" customWidth="1"/>
    <col min="12299" max="12300" width="3.7109375" style="114" customWidth="1"/>
    <col min="12301" max="12302" width="10.7109375" style="114" customWidth="1"/>
    <col min="12303" max="12303" width="27.7109375" style="114" customWidth="1"/>
    <col min="12304" max="12305" width="10.7109375" style="114" customWidth="1"/>
    <col min="12306" max="12307" width="11.7109375" style="114" customWidth="1"/>
    <col min="12308" max="12325" width="10.7109375" style="114" customWidth="1"/>
    <col min="12326" max="12338" width="5.140625" style="114" customWidth="1"/>
    <col min="12339" max="12339" width="5.42578125" style="114" customWidth="1"/>
    <col min="12340" max="12340" width="4.85546875" style="114" customWidth="1"/>
    <col min="12341" max="12341" width="7.140625" style="114" customWidth="1"/>
    <col min="12342" max="12547" width="11.42578125" style="114"/>
    <col min="12548" max="12548" width="4.5703125" style="114" customWidth="1"/>
    <col min="12549" max="12549" width="15.85546875" style="114" customWidth="1"/>
    <col min="12550" max="12550" width="16.28515625" style="114" customWidth="1"/>
    <col min="12551" max="12552" width="16.7109375" style="114" customWidth="1"/>
    <col min="12553" max="12554" width="5.7109375" style="114" customWidth="1"/>
    <col min="12555" max="12556" width="3.7109375" style="114" customWidth="1"/>
    <col min="12557" max="12558" width="10.7109375" style="114" customWidth="1"/>
    <col min="12559" max="12559" width="27.7109375" style="114" customWidth="1"/>
    <col min="12560" max="12561" width="10.7109375" style="114" customWidth="1"/>
    <col min="12562" max="12563" width="11.7109375" style="114" customWidth="1"/>
    <col min="12564" max="12581" width="10.7109375" style="114" customWidth="1"/>
    <col min="12582" max="12594" width="5.140625" style="114" customWidth="1"/>
    <col min="12595" max="12595" width="5.42578125" style="114" customWidth="1"/>
    <col min="12596" max="12596" width="4.85546875" style="114" customWidth="1"/>
    <col min="12597" max="12597" width="7.140625" style="114" customWidth="1"/>
    <col min="12598" max="12803" width="11.42578125" style="114"/>
    <col min="12804" max="12804" width="4.5703125" style="114" customWidth="1"/>
    <col min="12805" max="12805" width="15.85546875" style="114" customWidth="1"/>
    <col min="12806" max="12806" width="16.28515625" style="114" customWidth="1"/>
    <col min="12807" max="12808" width="16.7109375" style="114" customWidth="1"/>
    <col min="12809" max="12810" width="5.7109375" style="114" customWidth="1"/>
    <col min="12811" max="12812" width="3.7109375" style="114" customWidth="1"/>
    <col min="12813" max="12814" width="10.7109375" style="114" customWidth="1"/>
    <col min="12815" max="12815" width="27.7109375" style="114" customWidth="1"/>
    <col min="12816" max="12817" width="10.7109375" style="114" customWidth="1"/>
    <col min="12818" max="12819" width="11.7109375" style="114" customWidth="1"/>
    <col min="12820" max="12837" width="10.7109375" style="114" customWidth="1"/>
    <col min="12838" max="12850" width="5.140625" style="114" customWidth="1"/>
    <col min="12851" max="12851" width="5.42578125" style="114" customWidth="1"/>
    <col min="12852" max="12852" width="4.85546875" style="114" customWidth="1"/>
    <col min="12853" max="12853" width="7.140625" style="114" customWidth="1"/>
    <col min="12854" max="13059" width="11.42578125" style="114"/>
    <col min="13060" max="13060" width="4.5703125" style="114" customWidth="1"/>
    <col min="13061" max="13061" width="15.85546875" style="114" customWidth="1"/>
    <col min="13062" max="13062" width="16.28515625" style="114" customWidth="1"/>
    <col min="13063" max="13064" width="16.7109375" style="114" customWidth="1"/>
    <col min="13065" max="13066" width="5.7109375" style="114" customWidth="1"/>
    <col min="13067" max="13068" width="3.7109375" style="114" customWidth="1"/>
    <col min="13069" max="13070" width="10.7109375" style="114" customWidth="1"/>
    <col min="13071" max="13071" width="27.7109375" style="114" customWidth="1"/>
    <col min="13072" max="13073" width="10.7109375" style="114" customWidth="1"/>
    <col min="13074" max="13075" width="11.7109375" style="114" customWidth="1"/>
    <col min="13076" max="13093" width="10.7109375" style="114" customWidth="1"/>
    <col min="13094" max="13106" width="5.140625" style="114" customWidth="1"/>
    <col min="13107" max="13107" width="5.42578125" style="114" customWidth="1"/>
    <col min="13108" max="13108" width="4.85546875" style="114" customWidth="1"/>
    <col min="13109" max="13109" width="7.140625" style="114" customWidth="1"/>
    <col min="13110" max="13315" width="11.42578125" style="114"/>
    <col min="13316" max="13316" width="4.5703125" style="114" customWidth="1"/>
    <col min="13317" max="13317" width="15.85546875" style="114" customWidth="1"/>
    <col min="13318" max="13318" width="16.28515625" style="114" customWidth="1"/>
    <col min="13319" max="13320" width="16.7109375" style="114" customWidth="1"/>
    <col min="13321" max="13322" width="5.7109375" style="114" customWidth="1"/>
    <col min="13323" max="13324" width="3.7109375" style="114" customWidth="1"/>
    <col min="13325" max="13326" width="10.7109375" style="114" customWidth="1"/>
    <col min="13327" max="13327" width="27.7109375" style="114" customWidth="1"/>
    <col min="13328" max="13329" width="10.7109375" style="114" customWidth="1"/>
    <col min="13330" max="13331" width="11.7109375" style="114" customWidth="1"/>
    <col min="13332" max="13349" width="10.7109375" style="114" customWidth="1"/>
    <col min="13350" max="13362" width="5.140625" style="114" customWidth="1"/>
    <col min="13363" max="13363" width="5.42578125" style="114" customWidth="1"/>
    <col min="13364" max="13364" width="4.85546875" style="114" customWidth="1"/>
    <col min="13365" max="13365" width="7.140625" style="114" customWidth="1"/>
    <col min="13366" max="13571" width="11.42578125" style="114"/>
    <col min="13572" max="13572" width="4.5703125" style="114" customWidth="1"/>
    <col min="13573" max="13573" width="15.85546875" style="114" customWidth="1"/>
    <col min="13574" max="13574" width="16.28515625" style="114" customWidth="1"/>
    <col min="13575" max="13576" width="16.7109375" style="114" customWidth="1"/>
    <col min="13577" max="13578" width="5.7109375" style="114" customWidth="1"/>
    <col min="13579" max="13580" width="3.7109375" style="114" customWidth="1"/>
    <col min="13581" max="13582" width="10.7109375" style="114" customWidth="1"/>
    <col min="13583" max="13583" width="27.7109375" style="114" customWidth="1"/>
    <col min="13584" max="13585" width="10.7109375" style="114" customWidth="1"/>
    <col min="13586" max="13587" width="11.7109375" style="114" customWidth="1"/>
    <col min="13588" max="13605" width="10.7109375" style="114" customWidth="1"/>
    <col min="13606" max="13618" width="5.140625" style="114" customWidth="1"/>
    <col min="13619" max="13619" width="5.42578125" style="114" customWidth="1"/>
    <col min="13620" max="13620" width="4.85546875" style="114" customWidth="1"/>
    <col min="13621" max="13621" width="7.140625" style="114" customWidth="1"/>
    <col min="13622" max="13827" width="11.42578125" style="114"/>
    <col min="13828" max="13828" width="4.5703125" style="114" customWidth="1"/>
    <col min="13829" max="13829" width="15.85546875" style="114" customWidth="1"/>
    <col min="13830" max="13830" width="16.28515625" style="114" customWidth="1"/>
    <col min="13831" max="13832" width="16.7109375" style="114" customWidth="1"/>
    <col min="13833" max="13834" width="5.7109375" style="114" customWidth="1"/>
    <col min="13835" max="13836" width="3.7109375" style="114" customWidth="1"/>
    <col min="13837" max="13838" width="10.7109375" style="114" customWidth="1"/>
    <col min="13839" max="13839" width="27.7109375" style="114" customWidth="1"/>
    <col min="13840" max="13841" width="10.7109375" style="114" customWidth="1"/>
    <col min="13842" max="13843" width="11.7109375" style="114" customWidth="1"/>
    <col min="13844" max="13861" width="10.7109375" style="114" customWidth="1"/>
    <col min="13862" max="13874" width="5.140625" style="114" customWidth="1"/>
    <col min="13875" max="13875" width="5.42578125" style="114" customWidth="1"/>
    <col min="13876" max="13876" width="4.85546875" style="114" customWidth="1"/>
    <col min="13877" max="13877" width="7.140625" style="114" customWidth="1"/>
    <col min="13878" max="14083" width="11.42578125" style="114"/>
    <col min="14084" max="14084" width="4.5703125" style="114" customWidth="1"/>
    <col min="14085" max="14085" width="15.85546875" style="114" customWidth="1"/>
    <col min="14086" max="14086" width="16.28515625" style="114" customWidth="1"/>
    <col min="14087" max="14088" width="16.7109375" style="114" customWidth="1"/>
    <col min="14089" max="14090" width="5.7109375" style="114" customWidth="1"/>
    <col min="14091" max="14092" width="3.7109375" style="114" customWidth="1"/>
    <col min="14093" max="14094" width="10.7109375" style="114" customWidth="1"/>
    <col min="14095" max="14095" width="27.7109375" style="114" customWidth="1"/>
    <col min="14096" max="14097" width="10.7109375" style="114" customWidth="1"/>
    <col min="14098" max="14099" width="11.7109375" style="114" customWidth="1"/>
    <col min="14100" max="14117" width="10.7109375" style="114" customWidth="1"/>
    <col min="14118" max="14130" width="5.140625" style="114" customWidth="1"/>
    <col min="14131" max="14131" width="5.42578125" style="114" customWidth="1"/>
    <col min="14132" max="14132" width="4.85546875" style="114" customWidth="1"/>
    <col min="14133" max="14133" width="7.140625" style="114" customWidth="1"/>
    <col min="14134" max="14339" width="11.42578125" style="114"/>
    <col min="14340" max="14340" width="4.5703125" style="114" customWidth="1"/>
    <col min="14341" max="14341" width="15.85546875" style="114" customWidth="1"/>
    <col min="14342" max="14342" width="16.28515625" style="114" customWidth="1"/>
    <col min="14343" max="14344" width="16.7109375" style="114" customWidth="1"/>
    <col min="14345" max="14346" width="5.7109375" style="114" customWidth="1"/>
    <col min="14347" max="14348" width="3.7109375" style="114" customWidth="1"/>
    <col min="14349" max="14350" width="10.7109375" style="114" customWidth="1"/>
    <col min="14351" max="14351" width="27.7109375" style="114" customWidth="1"/>
    <col min="14352" max="14353" width="10.7109375" style="114" customWidth="1"/>
    <col min="14354" max="14355" width="11.7109375" style="114" customWidth="1"/>
    <col min="14356" max="14373" width="10.7109375" style="114" customWidth="1"/>
    <col min="14374" max="14386" width="5.140625" style="114" customWidth="1"/>
    <col min="14387" max="14387" width="5.42578125" style="114" customWidth="1"/>
    <col min="14388" max="14388" width="4.85546875" style="114" customWidth="1"/>
    <col min="14389" max="14389" width="7.140625" style="114" customWidth="1"/>
    <col min="14390" max="14595" width="11.42578125" style="114"/>
    <col min="14596" max="14596" width="4.5703125" style="114" customWidth="1"/>
    <col min="14597" max="14597" width="15.85546875" style="114" customWidth="1"/>
    <col min="14598" max="14598" width="16.28515625" style="114" customWidth="1"/>
    <col min="14599" max="14600" width="16.7109375" style="114" customWidth="1"/>
    <col min="14601" max="14602" width="5.7109375" style="114" customWidth="1"/>
    <col min="14603" max="14604" width="3.7109375" style="114" customWidth="1"/>
    <col min="14605" max="14606" width="10.7109375" style="114" customWidth="1"/>
    <col min="14607" max="14607" width="27.7109375" style="114" customWidth="1"/>
    <col min="14608" max="14609" width="10.7109375" style="114" customWidth="1"/>
    <col min="14610" max="14611" width="11.7109375" style="114" customWidth="1"/>
    <col min="14612" max="14629" width="10.7109375" style="114" customWidth="1"/>
    <col min="14630" max="14642" width="5.140625" style="114" customWidth="1"/>
    <col min="14643" max="14643" width="5.42578125" style="114" customWidth="1"/>
    <col min="14644" max="14644" width="4.85546875" style="114" customWidth="1"/>
    <col min="14645" max="14645" width="7.140625" style="114" customWidth="1"/>
    <col min="14646" max="14851" width="11.42578125" style="114"/>
    <col min="14852" max="14852" width="4.5703125" style="114" customWidth="1"/>
    <col min="14853" max="14853" width="15.85546875" style="114" customWidth="1"/>
    <col min="14854" max="14854" width="16.28515625" style="114" customWidth="1"/>
    <col min="14855" max="14856" width="16.7109375" style="114" customWidth="1"/>
    <col min="14857" max="14858" width="5.7109375" style="114" customWidth="1"/>
    <col min="14859" max="14860" width="3.7109375" style="114" customWidth="1"/>
    <col min="14861" max="14862" width="10.7109375" style="114" customWidth="1"/>
    <col min="14863" max="14863" width="27.7109375" style="114" customWidth="1"/>
    <col min="14864" max="14865" width="10.7109375" style="114" customWidth="1"/>
    <col min="14866" max="14867" width="11.7109375" style="114" customWidth="1"/>
    <col min="14868" max="14885" width="10.7109375" style="114" customWidth="1"/>
    <col min="14886" max="14898" width="5.140625" style="114" customWidth="1"/>
    <col min="14899" max="14899" width="5.42578125" style="114" customWidth="1"/>
    <col min="14900" max="14900" width="4.85546875" style="114" customWidth="1"/>
    <col min="14901" max="14901" width="7.140625" style="114" customWidth="1"/>
    <col min="14902" max="15107" width="11.42578125" style="114"/>
    <col min="15108" max="15108" width="4.5703125" style="114" customWidth="1"/>
    <col min="15109" max="15109" width="15.85546875" style="114" customWidth="1"/>
    <col min="15110" max="15110" width="16.28515625" style="114" customWidth="1"/>
    <col min="15111" max="15112" width="16.7109375" style="114" customWidth="1"/>
    <col min="15113" max="15114" width="5.7109375" style="114" customWidth="1"/>
    <col min="15115" max="15116" width="3.7109375" style="114" customWidth="1"/>
    <col min="15117" max="15118" width="10.7109375" style="114" customWidth="1"/>
    <col min="15119" max="15119" width="27.7109375" style="114" customWidth="1"/>
    <col min="15120" max="15121" width="10.7109375" style="114" customWidth="1"/>
    <col min="15122" max="15123" width="11.7109375" style="114" customWidth="1"/>
    <col min="15124" max="15141" width="10.7109375" style="114" customWidth="1"/>
    <col min="15142" max="15154" width="5.140625" style="114" customWidth="1"/>
    <col min="15155" max="15155" width="5.42578125" style="114" customWidth="1"/>
    <col min="15156" max="15156" width="4.85546875" style="114" customWidth="1"/>
    <col min="15157" max="15157" width="7.140625" style="114" customWidth="1"/>
    <col min="15158" max="15363" width="11.42578125" style="114"/>
    <col min="15364" max="15364" width="4.5703125" style="114" customWidth="1"/>
    <col min="15365" max="15365" width="15.85546875" style="114" customWidth="1"/>
    <col min="15366" max="15366" width="16.28515625" style="114" customWidth="1"/>
    <col min="15367" max="15368" width="16.7109375" style="114" customWidth="1"/>
    <col min="15369" max="15370" width="5.7109375" style="114" customWidth="1"/>
    <col min="15371" max="15372" width="3.7109375" style="114" customWidth="1"/>
    <col min="15373" max="15374" width="10.7109375" style="114" customWidth="1"/>
    <col min="15375" max="15375" width="27.7109375" style="114" customWidth="1"/>
    <col min="15376" max="15377" width="10.7109375" style="114" customWidth="1"/>
    <col min="15378" max="15379" width="11.7109375" style="114" customWidth="1"/>
    <col min="15380" max="15397" width="10.7109375" style="114" customWidth="1"/>
    <col min="15398" max="15410" width="5.140625" style="114" customWidth="1"/>
    <col min="15411" max="15411" width="5.42578125" style="114" customWidth="1"/>
    <col min="15412" max="15412" width="4.85546875" style="114" customWidth="1"/>
    <col min="15413" max="15413" width="7.140625" style="114" customWidth="1"/>
    <col min="15414" max="15619" width="11.42578125" style="114"/>
    <col min="15620" max="15620" width="4.5703125" style="114" customWidth="1"/>
    <col min="15621" max="15621" width="15.85546875" style="114" customWidth="1"/>
    <col min="15622" max="15622" width="16.28515625" style="114" customWidth="1"/>
    <col min="15623" max="15624" width="16.7109375" style="114" customWidth="1"/>
    <col min="15625" max="15626" width="5.7109375" style="114" customWidth="1"/>
    <col min="15627" max="15628" width="3.7109375" style="114" customWidth="1"/>
    <col min="15629" max="15630" width="10.7109375" style="114" customWidth="1"/>
    <col min="15631" max="15631" width="27.7109375" style="114" customWidth="1"/>
    <col min="15632" max="15633" width="10.7109375" style="114" customWidth="1"/>
    <col min="15634" max="15635" width="11.7109375" style="114" customWidth="1"/>
    <col min="15636" max="15653" width="10.7109375" style="114" customWidth="1"/>
    <col min="15654" max="15666" width="5.140625" style="114" customWidth="1"/>
    <col min="15667" max="15667" width="5.42578125" style="114" customWidth="1"/>
    <col min="15668" max="15668" width="4.85546875" style="114" customWidth="1"/>
    <col min="15669" max="15669" width="7.140625" style="114" customWidth="1"/>
    <col min="15670" max="15875" width="11.42578125" style="114"/>
    <col min="15876" max="15876" width="4.5703125" style="114" customWidth="1"/>
    <col min="15877" max="15877" width="15.85546875" style="114" customWidth="1"/>
    <col min="15878" max="15878" width="16.28515625" style="114" customWidth="1"/>
    <col min="15879" max="15880" width="16.7109375" style="114" customWidth="1"/>
    <col min="15881" max="15882" width="5.7109375" style="114" customWidth="1"/>
    <col min="15883" max="15884" width="3.7109375" style="114" customWidth="1"/>
    <col min="15885" max="15886" width="10.7109375" style="114" customWidth="1"/>
    <col min="15887" max="15887" width="27.7109375" style="114" customWidth="1"/>
    <col min="15888" max="15889" width="10.7109375" style="114" customWidth="1"/>
    <col min="15890" max="15891" width="11.7109375" style="114" customWidth="1"/>
    <col min="15892" max="15909" width="10.7109375" style="114" customWidth="1"/>
    <col min="15910" max="15922" width="5.140625" style="114" customWidth="1"/>
    <col min="15923" max="15923" width="5.42578125" style="114" customWidth="1"/>
    <col min="15924" max="15924" width="4.85546875" style="114" customWidth="1"/>
    <col min="15925" max="15925" width="7.140625" style="114" customWidth="1"/>
    <col min="15926" max="16131" width="11.42578125" style="114"/>
    <col min="16132" max="16132" width="4.5703125" style="114" customWidth="1"/>
    <col min="16133" max="16133" width="15.85546875" style="114" customWidth="1"/>
    <col min="16134" max="16134" width="16.28515625" style="114" customWidth="1"/>
    <col min="16135" max="16136" width="16.7109375" style="114" customWidth="1"/>
    <col min="16137" max="16138" width="5.7109375" style="114" customWidth="1"/>
    <col min="16139" max="16140" width="3.7109375" style="114" customWidth="1"/>
    <col min="16141" max="16142" width="10.7109375" style="114" customWidth="1"/>
    <col min="16143" max="16143" width="27.7109375" style="114" customWidth="1"/>
    <col min="16144" max="16145" width="10.7109375" style="114" customWidth="1"/>
    <col min="16146" max="16147" width="11.7109375" style="114" customWidth="1"/>
    <col min="16148" max="16165" width="10.7109375" style="114" customWidth="1"/>
    <col min="16166" max="16178" width="5.140625" style="114" customWidth="1"/>
    <col min="16179" max="16179" width="5.42578125" style="114" customWidth="1"/>
    <col min="16180" max="16180" width="4.85546875" style="114" customWidth="1"/>
    <col min="16181" max="16181" width="7.140625" style="114" customWidth="1"/>
    <col min="16182" max="16384" width="11.42578125" style="114"/>
  </cols>
  <sheetData>
    <row r="1" spans="1:64" ht="15" thickBot="1" x14ac:dyDescent="0.25">
      <c r="B1" s="115"/>
      <c r="C1" s="115"/>
      <c r="D1" s="116"/>
      <c r="E1" s="116"/>
      <c r="F1" s="116"/>
      <c r="G1" s="116"/>
      <c r="H1" s="116"/>
      <c r="I1" s="117"/>
      <c r="J1" s="117"/>
      <c r="K1" s="117"/>
      <c r="L1" s="116"/>
      <c r="M1" s="116"/>
      <c r="N1" s="116"/>
      <c r="O1" s="116"/>
      <c r="P1" s="116"/>
      <c r="Q1" s="116"/>
      <c r="R1" s="116"/>
      <c r="S1" s="116"/>
      <c r="T1" s="116"/>
      <c r="U1" s="116"/>
      <c r="V1" s="116"/>
      <c r="W1" s="116"/>
      <c r="X1" s="116"/>
      <c r="Y1" s="116"/>
      <c r="Z1" s="116"/>
      <c r="AA1" s="116"/>
      <c r="AB1" s="116"/>
      <c r="AC1" s="116"/>
      <c r="AD1" s="116"/>
      <c r="AE1" s="116"/>
      <c r="AF1" s="116"/>
      <c r="AG1" s="116"/>
      <c r="AH1" s="116"/>
      <c r="AI1" s="116"/>
      <c r="AJ1" s="116"/>
      <c r="AK1" s="116"/>
      <c r="AL1" s="116"/>
      <c r="AM1" s="116"/>
      <c r="AN1" s="116"/>
      <c r="AO1" s="116"/>
      <c r="AP1" s="116"/>
      <c r="AQ1" s="116"/>
      <c r="AR1" s="116"/>
      <c r="AS1" s="116"/>
      <c r="AT1" s="116"/>
      <c r="AU1" s="116"/>
      <c r="AV1" s="116"/>
      <c r="AW1" s="116"/>
      <c r="AX1" s="116"/>
      <c r="AY1" s="116"/>
      <c r="AZ1" s="116"/>
      <c r="BA1" s="116"/>
    </row>
    <row r="2" spans="1:64" ht="18.75" thickTop="1" x14ac:dyDescent="0.2">
      <c r="B2" s="976" t="s">
        <v>2</v>
      </c>
      <c r="C2" s="977"/>
      <c r="D2" s="977"/>
      <c r="E2" s="977"/>
      <c r="F2" s="977"/>
      <c r="G2" s="977"/>
      <c r="H2" s="977"/>
      <c r="I2" s="977"/>
      <c r="J2" s="977"/>
      <c r="K2" s="977"/>
      <c r="L2" s="977"/>
      <c r="M2" s="977"/>
      <c r="N2" s="977"/>
      <c r="O2" s="977"/>
      <c r="P2" s="977"/>
      <c r="Q2" s="977"/>
      <c r="R2" s="977"/>
      <c r="S2" s="977"/>
      <c r="T2" s="977"/>
      <c r="U2" s="977"/>
      <c r="V2" s="977"/>
      <c r="W2" s="977"/>
      <c r="X2" s="977"/>
      <c r="Y2" s="977"/>
      <c r="Z2" s="977"/>
      <c r="AA2" s="977"/>
      <c r="AB2" s="977"/>
      <c r="AC2" s="977"/>
      <c r="AD2" s="977"/>
      <c r="AE2" s="977"/>
      <c r="AF2" s="977"/>
      <c r="AG2" s="977"/>
      <c r="AH2" s="977"/>
      <c r="AI2" s="977"/>
      <c r="AJ2" s="977"/>
      <c r="AK2" s="977"/>
      <c r="AL2" s="977"/>
      <c r="AM2" s="977"/>
      <c r="AN2" s="977"/>
      <c r="AO2" s="977"/>
      <c r="AP2" s="977"/>
      <c r="AQ2" s="977"/>
      <c r="AR2" s="977"/>
      <c r="AS2" s="977"/>
      <c r="AT2" s="977"/>
      <c r="AU2" s="977"/>
      <c r="AV2" s="977"/>
      <c r="AW2" s="977"/>
      <c r="AX2" s="977"/>
      <c r="AY2" s="977"/>
      <c r="AZ2" s="977"/>
      <c r="BA2" s="977"/>
      <c r="BB2" s="977"/>
      <c r="BC2" s="978"/>
      <c r="BE2" s="919"/>
      <c r="BF2" s="921" t="s">
        <v>1669</v>
      </c>
      <c r="BG2" s="922"/>
      <c r="BH2" s="922"/>
      <c r="BI2" s="922"/>
      <c r="BJ2" s="922"/>
      <c r="BK2" s="922"/>
      <c r="BL2" s="922"/>
    </row>
    <row r="3" spans="1:64" ht="15.75" x14ac:dyDescent="0.2">
      <c r="B3" s="979" t="s">
        <v>1670</v>
      </c>
      <c r="C3" s="980"/>
      <c r="D3" s="980"/>
      <c r="E3" s="980"/>
      <c r="F3" s="980"/>
      <c r="G3" s="980"/>
      <c r="H3" s="980"/>
      <c r="I3" s="980"/>
      <c r="J3" s="980"/>
      <c r="K3" s="980"/>
      <c r="L3" s="980"/>
      <c r="M3" s="980"/>
      <c r="N3" s="981">
        <v>2019</v>
      </c>
      <c r="O3" s="981"/>
      <c r="P3" s="981"/>
      <c r="Q3" s="118" t="e">
        <f>VLOOKUP(N3,#REF!,2,0)</f>
        <v>#REF!</v>
      </c>
      <c r="R3" s="118">
        <f>VLOOKUP(N3,$N$310:$O$314,2,0)</f>
        <v>9</v>
      </c>
      <c r="S3" s="119"/>
      <c r="T3" s="119"/>
      <c r="U3" s="119"/>
      <c r="V3" s="119"/>
      <c r="W3" s="119"/>
      <c r="X3" s="119"/>
      <c r="Y3" s="119"/>
      <c r="Z3" s="119"/>
      <c r="AA3" s="119"/>
      <c r="AB3" s="119"/>
      <c r="AC3" s="119"/>
      <c r="AD3" s="119"/>
      <c r="AE3" s="119"/>
      <c r="AF3" s="119"/>
      <c r="AG3" s="119"/>
      <c r="AH3" s="119"/>
      <c r="AI3" s="119"/>
      <c r="AJ3" s="119"/>
      <c r="AK3" s="119"/>
      <c r="AL3" s="119"/>
      <c r="AM3" s="119"/>
      <c r="AN3" s="119"/>
      <c r="AO3" s="119"/>
      <c r="AP3" s="119"/>
      <c r="AQ3" s="119"/>
      <c r="AR3" s="119"/>
      <c r="AS3" s="119"/>
      <c r="AT3" s="119"/>
      <c r="AU3" s="119"/>
      <c r="AV3" s="119"/>
      <c r="AW3" s="119"/>
      <c r="AX3" s="119"/>
      <c r="AY3" s="119"/>
      <c r="AZ3" s="119"/>
      <c r="BA3" s="119"/>
      <c r="BB3" s="119"/>
      <c r="BC3" s="120"/>
      <c r="BE3" s="920"/>
      <c r="BF3" s="921"/>
      <c r="BG3" s="922"/>
      <c r="BH3" s="922"/>
      <c r="BI3" s="922"/>
      <c r="BJ3" s="922"/>
      <c r="BK3" s="922"/>
      <c r="BL3" s="922"/>
    </row>
    <row r="4" spans="1:64" s="121" customFormat="1" ht="6" customHeight="1" thickBot="1" x14ac:dyDescent="0.25">
      <c r="B4" s="122"/>
      <c r="C4" s="122"/>
      <c r="D4" s="122"/>
      <c r="E4" s="122"/>
      <c r="F4" s="122"/>
      <c r="G4" s="122"/>
      <c r="H4" s="122"/>
      <c r="I4" s="122"/>
      <c r="J4" s="122"/>
      <c r="K4" s="122"/>
      <c r="L4" s="122"/>
      <c r="M4" s="122"/>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row>
    <row r="5" spans="1:64" ht="16.5" customHeight="1" thickBot="1" x14ac:dyDescent="0.25">
      <c r="B5" s="124" t="s">
        <v>1671</v>
      </c>
      <c r="C5" s="982" t="str">
        <f>VLOOKUP($D$9,'CONSOLIDADO PLAN DESARROLLO'!$DT$9:$DZ$62,3,0)</f>
        <v>E3. - Infraestructura, Planeación, Ambiente y Servicios Públicos</v>
      </c>
      <c r="D5" s="982"/>
      <c r="E5" s="982"/>
      <c r="F5" s="982"/>
      <c r="G5" s="982"/>
      <c r="H5" s="982"/>
      <c r="I5" s="983"/>
      <c r="J5" s="984" t="s">
        <v>1672</v>
      </c>
      <c r="K5" s="985"/>
      <c r="L5" s="986" t="str">
        <f>VLOOKUP($D$9,'CONSOLIDADO PLAN DESARROLLO'!$DT$9:$DZ$62,5,0)</f>
        <v xml:space="preserve">Equipamiento </v>
      </c>
      <c r="M5" s="986"/>
      <c r="N5" s="986"/>
      <c r="O5" s="986"/>
      <c r="P5" s="986"/>
      <c r="Q5" s="986"/>
      <c r="R5" s="986"/>
      <c r="S5" s="986"/>
      <c r="T5" s="986"/>
      <c r="U5" s="987"/>
      <c r="V5" s="988" t="s">
        <v>1781</v>
      </c>
      <c r="W5" s="989"/>
      <c r="X5" s="989"/>
      <c r="Y5" s="961"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61"/>
      <c r="AA5" s="961"/>
      <c r="AB5" s="961"/>
      <c r="AC5" s="961"/>
      <c r="AD5" s="961"/>
      <c r="AE5" s="961"/>
      <c r="AF5" s="961"/>
      <c r="AG5" s="961"/>
      <c r="AH5" s="961"/>
      <c r="AI5" s="961"/>
      <c r="AJ5" s="961"/>
      <c r="AK5" s="961"/>
      <c r="AL5" s="961"/>
      <c r="AM5" s="961"/>
      <c r="AN5" s="961"/>
      <c r="AO5" s="961"/>
      <c r="AP5" s="961"/>
      <c r="AQ5" s="961"/>
      <c r="AR5" s="961"/>
      <c r="AS5" s="961"/>
      <c r="AT5" s="961"/>
      <c r="AU5" s="961"/>
      <c r="AV5" s="961"/>
      <c r="AW5" s="961"/>
      <c r="AX5" s="961"/>
      <c r="AY5" s="961"/>
      <c r="AZ5" s="961"/>
      <c r="BA5" s="961"/>
      <c r="BB5" s="961"/>
      <c r="BC5" s="990"/>
    </row>
    <row r="6" spans="1:64" ht="15" customHeight="1" thickBot="1" x14ac:dyDescent="0.25">
      <c r="B6" s="125" t="s">
        <v>1673</v>
      </c>
      <c r="C6" s="961" t="str">
        <f>VLOOKUP($D$9,'CONSOLIDADO PLAN DESARROLLO'!$DT$9:$DZ$62,6,0)</f>
        <v>E3.P_A - INFRAESTRUCTURAS INSTITUCIONALES Y COMUNITARIAS</v>
      </c>
      <c r="D6" s="961"/>
      <c r="E6" s="961"/>
      <c r="F6" s="962"/>
      <c r="G6" s="923" t="s">
        <v>1783</v>
      </c>
      <c r="H6" s="924"/>
      <c r="I6" s="924"/>
      <c r="J6" s="924"/>
      <c r="K6" s="925" t="str">
        <f>VLOOKUP($D$9,'CONSOLIDADO PLAN DESARROLLO'!$DT$9:$DZ$62,7,0)</f>
        <v xml:space="preserve">Desarrollar infraestructuras públicas para mejorar las condiciones de vida de los Tocancipeños </v>
      </c>
      <c r="L6" s="925"/>
      <c r="M6" s="925"/>
      <c r="N6" s="925"/>
      <c r="O6" s="925"/>
      <c r="P6" s="925"/>
      <c r="Q6" s="926"/>
      <c r="R6" s="963" t="s">
        <v>1959</v>
      </c>
      <c r="S6" s="964"/>
      <c r="T6" s="964"/>
      <c r="U6" s="964"/>
      <c r="V6" s="965"/>
      <c r="W6" s="965"/>
      <c r="X6" s="965"/>
      <c r="Y6" s="965"/>
      <c r="Z6" s="965"/>
      <c r="AA6" s="965"/>
      <c r="AB6" s="965"/>
      <c r="AC6" s="965"/>
      <c r="AD6" s="965"/>
      <c r="AE6" s="965"/>
      <c r="AF6" s="965"/>
      <c r="AG6" s="965"/>
      <c r="AH6" s="965"/>
      <c r="AI6" s="965"/>
      <c r="AJ6" s="965"/>
      <c r="AK6" s="966"/>
      <c r="AL6" s="967" t="s">
        <v>1674</v>
      </c>
      <c r="AM6" s="968"/>
      <c r="AN6" s="968"/>
      <c r="AO6" s="968"/>
      <c r="AP6" s="968"/>
      <c r="AQ6" s="968"/>
      <c r="AR6" s="968"/>
      <c r="AS6" s="968"/>
      <c r="AT6" s="968"/>
      <c r="AU6" s="968"/>
      <c r="AV6" s="968"/>
      <c r="AW6" s="968"/>
      <c r="AX6" s="968"/>
      <c r="AY6" s="968"/>
      <c r="AZ6" s="968"/>
      <c r="BA6" s="968"/>
      <c r="BB6" s="968"/>
      <c r="BC6" s="969"/>
    </row>
    <row r="7" spans="1:64" ht="36" customHeight="1" x14ac:dyDescent="0.2">
      <c r="B7" s="927" t="s">
        <v>1675</v>
      </c>
      <c r="C7" s="928"/>
      <c r="D7" s="970" t="s">
        <v>1676</v>
      </c>
      <c r="E7" s="931" t="s">
        <v>1677</v>
      </c>
      <c r="F7" s="972" t="s">
        <v>1678</v>
      </c>
      <c r="G7" s="974" t="s">
        <v>1679</v>
      </c>
      <c r="H7" s="949" t="s">
        <v>1784</v>
      </c>
      <c r="I7" s="951" t="s">
        <v>1906</v>
      </c>
      <c r="J7" s="953">
        <f>+$N$3</f>
        <v>2019</v>
      </c>
      <c r="K7" s="955" t="s">
        <v>1681</v>
      </c>
      <c r="L7" s="957" t="s">
        <v>1951</v>
      </c>
      <c r="M7" s="126"/>
      <c r="N7" s="126"/>
      <c r="O7" s="126"/>
      <c r="P7" s="126"/>
      <c r="Q7" s="126"/>
      <c r="R7" s="959" t="s">
        <v>1908</v>
      </c>
      <c r="S7" s="960"/>
      <c r="T7" s="943" t="s">
        <v>1924</v>
      </c>
      <c r="U7" s="943"/>
      <c r="V7" s="943" t="s">
        <v>1909</v>
      </c>
      <c r="W7" s="943"/>
      <c r="X7" s="943" t="s">
        <v>1910</v>
      </c>
      <c r="Y7" s="943"/>
      <c r="Z7" s="948" t="s">
        <v>1907</v>
      </c>
      <c r="AA7" s="948"/>
      <c r="AB7" s="943" t="s">
        <v>36</v>
      </c>
      <c r="AC7" s="943"/>
      <c r="AD7" s="943" t="s">
        <v>1925</v>
      </c>
      <c r="AE7" s="943"/>
      <c r="AF7" s="943" t="s">
        <v>1911</v>
      </c>
      <c r="AG7" s="943"/>
      <c r="AH7" s="943" t="s">
        <v>1953</v>
      </c>
      <c r="AI7" s="943"/>
      <c r="AJ7" s="944" t="s">
        <v>1921</v>
      </c>
      <c r="AK7" s="945"/>
      <c r="AL7" s="946" t="s">
        <v>1682</v>
      </c>
      <c r="AM7" s="947"/>
      <c r="AN7" s="947"/>
      <c r="AO7" s="947"/>
      <c r="AP7" s="947"/>
      <c r="AQ7" s="947"/>
      <c r="AR7" s="947"/>
      <c r="AS7" s="947" t="s">
        <v>1683</v>
      </c>
      <c r="AT7" s="947"/>
      <c r="AU7" s="947"/>
      <c r="AV7" s="947" t="s">
        <v>1684</v>
      </c>
      <c r="AW7" s="947"/>
      <c r="AX7" s="947"/>
      <c r="AY7" s="947"/>
      <c r="AZ7" s="947"/>
      <c r="BA7" s="993" t="s">
        <v>1685</v>
      </c>
      <c r="BB7" s="991" t="s">
        <v>1954</v>
      </c>
      <c r="BC7" s="992" t="s">
        <v>1686</v>
      </c>
    </row>
    <row r="8" spans="1:64" ht="57" customHeight="1" x14ac:dyDescent="0.2">
      <c r="B8" s="929"/>
      <c r="C8" s="930"/>
      <c r="D8" s="971"/>
      <c r="E8" s="932"/>
      <c r="F8" s="973"/>
      <c r="G8" s="975"/>
      <c r="H8" s="950"/>
      <c r="I8" s="952"/>
      <c r="J8" s="954"/>
      <c r="K8" s="956"/>
      <c r="L8" s="958"/>
      <c r="M8" s="126"/>
      <c r="N8" s="126"/>
      <c r="O8" s="126"/>
      <c r="P8" s="126"/>
      <c r="Q8" s="126"/>
      <c r="R8" s="27" t="s">
        <v>1955</v>
      </c>
      <c r="S8" s="28" t="s">
        <v>1956</v>
      </c>
      <c r="T8" s="29" t="s">
        <v>1955</v>
      </c>
      <c r="U8" s="28" t="s">
        <v>1956</v>
      </c>
      <c r="V8" s="29" t="s">
        <v>1955</v>
      </c>
      <c r="W8" s="28" t="s">
        <v>1956</v>
      </c>
      <c r="X8" s="29" t="s">
        <v>1955</v>
      </c>
      <c r="Y8" s="28" t="s">
        <v>1956</v>
      </c>
      <c r="Z8" s="29" t="s">
        <v>1955</v>
      </c>
      <c r="AA8" s="28" t="s">
        <v>1956</v>
      </c>
      <c r="AB8" s="29" t="s">
        <v>1955</v>
      </c>
      <c r="AC8" s="28" t="s">
        <v>1956</v>
      </c>
      <c r="AD8" s="29" t="s">
        <v>1955</v>
      </c>
      <c r="AE8" s="28" t="s">
        <v>1956</v>
      </c>
      <c r="AF8" s="29" t="s">
        <v>1955</v>
      </c>
      <c r="AG8" s="28" t="s">
        <v>1956</v>
      </c>
      <c r="AH8" s="29" t="s">
        <v>1955</v>
      </c>
      <c r="AI8" s="28" t="s">
        <v>1956</v>
      </c>
      <c r="AJ8" s="30" t="s">
        <v>1957</v>
      </c>
      <c r="AK8" s="31" t="s">
        <v>1958</v>
      </c>
      <c r="AL8" s="32" t="s">
        <v>1687</v>
      </c>
      <c r="AM8" s="33" t="s">
        <v>1688</v>
      </c>
      <c r="AN8" s="33" t="s">
        <v>1689</v>
      </c>
      <c r="AO8" s="33" t="s">
        <v>1690</v>
      </c>
      <c r="AP8" s="33" t="s">
        <v>1691</v>
      </c>
      <c r="AQ8" s="33" t="s">
        <v>1692</v>
      </c>
      <c r="AR8" s="34" t="s">
        <v>1693</v>
      </c>
      <c r="AS8" s="35" t="s">
        <v>1694</v>
      </c>
      <c r="AT8" s="33" t="s">
        <v>1695</v>
      </c>
      <c r="AU8" s="34" t="s">
        <v>1922</v>
      </c>
      <c r="AV8" s="35" t="s">
        <v>1697</v>
      </c>
      <c r="AW8" s="33" t="s">
        <v>1916</v>
      </c>
      <c r="AX8" s="33" t="s">
        <v>1699</v>
      </c>
      <c r="AY8" s="33" t="s">
        <v>1700</v>
      </c>
      <c r="AZ8" s="36" t="s">
        <v>1701</v>
      </c>
      <c r="BA8" s="993"/>
      <c r="BB8" s="991"/>
      <c r="BC8" s="992"/>
    </row>
    <row r="9" spans="1:64" ht="78" customHeight="1" x14ac:dyDescent="0.2">
      <c r="B9" s="933" t="s">
        <v>1926</v>
      </c>
      <c r="C9" s="934"/>
      <c r="D9" s="868" t="s">
        <v>355</v>
      </c>
      <c r="E9" s="98" t="str">
        <f>VLOOKUP($D$9,'CONSOLIDADO PLAN DESARROLLO'!$EB$9:$EF$62,2,0)</f>
        <v>Desarrollar infraestructuras públicas para mejorar las condiciones de vida de los Tocancipeños</v>
      </c>
      <c r="F9" s="37" t="str">
        <f>VLOOKUP($D$9,'CONSOLIDADO PLAN DESARROLLO'!$EB$9:$EF$62,3,0)</f>
        <v>Infraestructuras desarrolladas</v>
      </c>
      <c r="G9" s="94">
        <f>VLOOKUP($D$9,'CONSOLIDADO PLAN DESARROLLO'!$EB$9:$EF$62,4,0)</f>
        <v>87</v>
      </c>
      <c r="H9" s="94">
        <f>VLOOKUP($D$9,'CONSOLIDADO PLAN DESARROLLO'!$EB$9:$EF$62,5,0)</f>
        <v>114</v>
      </c>
      <c r="I9" s="935"/>
      <c r="J9" s="936"/>
      <c r="K9" s="869">
        <v>110</v>
      </c>
      <c r="L9" s="848">
        <v>114</v>
      </c>
      <c r="M9" s="126"/>
      <c r="N9" s="126"/>
      <c r="O9" s="126"/>
      <c r="P9" s="126"/>
      <c r="Q9" s="126"/>
      <c r="R9" s="127">
        <f>+R12+R21+R30+R39+R48+R57+R66+R75+R84+R93+R102+R111+R120+R129+R138+R147+R156+R165+R174+R183+R192</f>
        <v>0</v>
      </c>
      <c r="S9" s="128">
        <f t="shared" ref="S9:AZ9" si="0">+S12+S21+S30+S39+S48+S57+S66+S75+S84+S93+S102+S111+S120+S129+S138+S147+S156+S165+S174+S183+S192</f>
        <v>0</v>
      </c>
      <c r="T9" s="129">
        <f t="shared" si="0"/>
        <v>0</v>
      </c>
      <c r="U9" s="128">
        <f t="shared" si="0"/>
        <v>0</v>
      </c>
      <c r="V9" s="129">
        <f t="shared" si="0"/>
        <v>30000000000</v>
      </c>
      <c r="W9" s="128">
        <f t="shared" si="0"/>
        <v>0</v>
      </c>
      <c r="X9" s="129">
        <f t="shared" si="0"/>
        <v>0</v>
      </c>
      <c r="Y9" s="128">
        <f t="shared" si="0"/>
        <v>0</v>
      </c>
      <c r="Z9" s="129">
        <f t="shared" si="0"/>
        <v>31362337475</v>
      </c>
      <c r="AA9" s="128">
        <f t="shared" si="0"/>
        <v>11224021729</v>
      </c>
      <c r="AB9" s="129">
        <f t="shared" si="0"/>
        <v>509266177</v>
      </c>
      <c r="AC9" s="128">
        <f t="shared" si="0"/>
        <v>509260145</v>
      </c>
      <c r="AD9" s="129">
        <f t="shared" si="0"/>
        <v>90000000</v>
      </c>
      <c r="AE9" s="128">
        <f t="shared" si="0"/>
        <v>89363066.599999994</v>
      </c>
      <c r="AF9" s="129">
        <f t="shared" si="0"/>
        <v>0</v>
      </c>
      <c r="AG9" s="128">
        <f t="shared" si="0"/>
        <v>0</v>
      </c>
      <c r="AH9" s="129">
        <f t="shared" ref="AH9:AI9" si="1">+AH12+AH21+AH30+AH39+AH48+AH57+AH66+AH75+AH84+AH93+AH102+AH111+AH120+AH129+AH138+AH147+AH156+AH165+AH174+AH183+AH192</f>
        <v>0</v>
      </c>
      <c r="AI9" s="128">
        <f t="shared" si="1"/>
        <v>0</v>
      </c>
      <c r="AJ9" s="130">
        <f t="shared" si="0"/>
        <v>61961603652</v>
      </c>
      <c r="AK9" s="131">
        <f t="shared" si="0"/>
        <v>11822644940.6</v>
      </c>
      <c r="AL9" s="132">
        <f t="shared" si="0"/>
        <v>0</v>
      </c>
      <c r="AM9" s="133">
        <f t="shared" si="0"/>
        <v>0</v>
      </c>
      <c r="AN9" s="133">
        <f t="shared" si="0"/>
        <v>0</v>
      </c>
      <c r="AO9" s="133">
        <f t="shared" si="0"/>
        <v>0</v>
      </c>
      <c r="AP9" s="133">
        <f t="shared" si="0"/>
        <v>0</v>
      </c>
      <c r="AQ9" s="133">
        <f t="shared" si="0"/>
        <v>0</v>
      </c>
      <c r="AR9" s="134">
        <f t="shared" si="0"/>
        <v>0</v>
      </c>
      <c r="AS9" s="135">
        <f t="shared" si="0"/>
        <v>0</v>
      </c>
      <c r="AT9" s="133">
        <f t="shared" si="0"/>
        <v>0</v>
      </c>
      <c r="AU9" s="134">
        <f t="shared" si="0"/>
        <v>0</v>
      </c>
      <c r="AV9" s="136">
        <f t="shared" si="0"/>
        <v>0</v>
      </c>
      <c r="AW9" s="137">
        <f t="shared" si="0"/>
        <v>0</v>
      </c>
      <c r="AX9" s="137">
        <f t="shared" si="0"/>
        <v>0</v>
      </c>
      <c r="AY9" s="137">
        <f t="shared" si="0"/>
        <v>0</v>
      </c>
      <c r="AZ9" s="134">
        <f t="shared" si="0"/>
        <v>0</v>
      </c>
      <c r="BA9" s="138"/>
      <c r="BB9" s="138"/>
      <c r="BC9" s="139"/>
    </row>
    <row r="10" spans="1:64" ht="78" hidden="1" customHeight="1" x14ac:dyDescent="0.2">
      <c r="B10" s="140" t="s">
        <v>1702</v>
      </c>
      <c r="C10" s="141" t="s">
        <v>1703</v>
      </c>
      <c r="D10" s="937" t="e">
        <f>VLOOKUP($D$9,#REF!,2,0)</f>
        <v>#REF!</v>
      </c>
      <c r="E10" s="938"/>
      <c r="F10" s="938"/>
      <c r="G10" s="938"/>
      <c r="H10" s="938"/>
      <c r="I10" s="938"/>
      <c r="J10" s="939"/>
      <c r="K10" s="38" t="e">
        <f>VLOOKUP($D$9,#REF!,3,0)</f>
        <v>#REF!</v>
      </c>
      <c r="L10" s="39" t="e">
        <f>VLOOKUP($D$9,#REF!,4,0)</f>
        <v>#REF!</v>
      </c>
      <c r="M10" s="40" t="e">
        <f>VLOOKUP($D$9,#REF!,5,0)</f>
        <v>#REF!</v>
      </c>
      <c r="N10" s="940" t="e">
        <f>VLOOKUP($D$9,#REF!,Q3,0)</f>
        <v>#REF!</v>
      </c>
      <c r="O10" s="941"/>
      <c r="P10" s="40"/>
      <c r="Q10" s="142">
        <v>5555</v>
      </c>
      <c r="R10" s="143"/>
      <c r="S10" s="144"/>
      <c r="T10" s="144"/>
      <c r="U10" s="144"/>
      <c r="V10" s="144"/>
      <c r="W10" s="144"/>
      <c r="X10" s="144"/>
      <c r="Y10" s="144"/>
      <c r="Z10" s="144"/>
      <c r="AA10" s="144"/>
      <c r="AB10" s="144"/>
      <c r="AC10" s="144"/>
      <c r="AD10" s="144"/>
      <c r="AE10" s="144"/>
      <c r="AF10" s="144"/>
      <c r="AG10" s="144"/>
      <c r="AH10" s="144"/>
      <c r="AI10" s="144"/>
      <c r="AJ10" s="145"/>
      <c r="AK10" s="145"/>
      <c r="AL10" s="146"/>
      <c r="AM10" s="146"/>
      <c r="AN10" s="146"/>
      <c r="AO10" s="146"/>
      <c r="AP10" s="146"/>
      <c r="AQ10" s="146"/>
      <c r="AR10" s="147"/>
      <c r="AS10" s="146"/>
      <c r="AT10" s="146"/>
      <c r="AU10" s="147"/>
      <c r="AV10" s="147"/>
      <c r="AW10" s="147"/>
      <c r="AX10" s="147"/>
      <c r="AY10" s="147"/>
      <c r="AZ10" s="147"/>
      <c r="BA10" s="147"/>
      <c r="BB10" s="147"/>
      <c r="BC10" s="148"/>
    </row>
    <row r="11" spans="1:64" ht="6" customHeight="1" x14ac:dyDescent="0.2">
      <c r="A11" s="149"/>
      <c r="B11" s="150"/>
      <c r="C11" s="150"/>
      <c r="D11" s="150"/>
      <c r="E11" s="150"/>
      <c r="F11" s="150"/>
      <c r="G11" s="150"/>
      <c r="H11" s="150"/>
      <c r="I11" s="150"/>
      <c r="J11" s="150"/>
      <c r="K11" s="150"/>
      <c r="L11" s="150"/>
      <c r="M11" s="150"/>
      <c r="N11" s="942"/>
      <c r="O11" s="942"/>
      <c r="P11" s="150"/>
      <c r="Q11" s="150"/>
      <c r="R11" s="151"/>
      <c r="S11" s="151"/>
      <c r="T11" s="151"/>
      <c r="U11" s="151"/>
      <c r="V11" s="151"/>
      <c r="W11" s="151"/>
      <c r="X11" s="151"/>
      <c r="Y11" s="151"/>
      <c r="Z11" s="151"/>
      <c r="AA11" s="151"/>
      <c r="AB11" s="151"/>
      <c r="AC11" s="151"/>
      <c r="AD11" s="151"/>
      <c r="AE11" s="151"/>
      <c r="AF11" s="151"/>
      <c r="AG11" s="151"/>
      <c r="AH11" s="151"/>
      <c r="AI11" s="151"/>
      <c r="AJ11" s="151"/>
      <c r="AK11" s="152"/>
      <c r="AL11" s="152"/>
      <c r="AM11" s="152"/>
      <c r="AN11" s="152"/>
      <c r="AO11" s="152"/>
      <c r="AP11" s="152"/>
      <c r="AQ11" s="153"/>
      <c r="AR11" s="152"/>
      <c r="AS11" s="152"/>
      <c r="AT11" s="152"/>
      <c r="AU11" s="152"/>
      <c r="AV11" s="152"/>
      <c r="AW11" s="152"/>
      <c r="AX11" s="152"/>
      <c r="AY11" s="152"/>
      <c r="AZ11" s="152"/>
      <c r="BA11" s="152"/>
      <c r="BB11" s="152"/>
      <c r="BC11" s="149"/>
    </row>
    <row r="12" spans="1:64" ht="72" customHeight="1" x14ac:dyDescent="0.2">
      <c r="A12" s="870">
        <v>1</v>
      </c>
      <c r="B12" s="154" t="s">
        <v>1704</v>
      </c>
      <c r="C12" s="155" t="s">
        <v>1705</v>
      </c>
      <c r="D12" s="156" t="s">
        <v>21</v>
      </c>
      <c r="E12" s="156" t="s">
        <v>1890</v>
      </c>
      <c r="F12" s="155" t="s">
        <v>1706</v>
      </c>
      <c r="G12" s="157" t="s">
        <v>1679</v>
      </c>
      <c r="H12" s="157" t="s">
        <v>1680</v>
      </c>
      <c r="I12" s="158" t="s">
        <v>1906</v>
      </c>
      <c r="J12" s="159">
        <f>+$N$3</f>
        <v>2019</v>
      </c>
      <c r="K12" s="157" t="s">
        <v>1923</v>
      </c>
      <c r="L12" s="158" t="s">
        <v>1951</v>
      </c>
      <c r="M12" s="155" t="s">
        <v>1707</v>
      </c>
      <c r="N12" s="155" t="s">
        <v>1708</v>
      </c>
      <c r="O12" s="155" t="s">
        <v>1709</v>
      </c>
      <c r="P12" s="155" t="s">
        <v>1961</v>
      </c>
      <c r="Q12" s="155" t="s">
        <v>1952</v>
      </c>
      <c r="R12" s="160">
        <f>SUM(R13:R19)</f>
        <v>0</v>
      </c>
      <c r="S12" s="161">
        <f t="shared" ref="S12:AK12" si="2">SUM(S13:S19)</f>
        <v>0</v>
      </c>
      <c r="T12" s="162">
        <f t="shared" si="2"/>
        <v>0</v>
      </c>
      <c r="U12" s="163">
        <f t="shared" si="2"/>
        <v>0</v>
      </c>
      <c r="V12" s="162">
        <f t="shared" si="2"/>
        <v>0</v>
      </c>
      <c r="W12" s="163">
        <f t="shared" si="2"/>
        <v>0</v>
      </c>
      <c r="X12" s="162">
        <f t="shared" si="2"/>
        <v>0</v>
      </c>
      <c r="Y12" s="163">
        <f t="shared" si="2"/>
        <v>0</v>
      </c>
      <c r="Z12" s="162">
        <f t="shared" si="2"/>
        <v>0</v>
      </c>
      <c r="AA12" s="163">
        <f t="shared" si="2"/>
        <v>0</v>
      </c>
      <c r="AB12" s="162">
        <f t="shared" si="2"/>
        <v>0</v>
      </c>
      <c r="AC12" s="163">
        <f t="shared" si="2"/>
        <v>0</v>
      </c>
      <c r="AD12" s="162">
        <f t="shared" si="2"/>
        <v>0</v>
      </c>
      <c r="AE12" s="163">
        <f t="shared" si="2"/>
        <v>0</v>
      </c>
      <c r="AF12" s="162">
        <f t="shared" si="2"/>
        <v>0</v>
      </c>
      <c r="AG12" s="164">
        <f t="shared" si="2"/>
        <v>0</v>
      </c>
      <c r="AH12" s="162">
        <f t="shared" si="2"/>
        <v>0</v>
      </c>
      <c r="AI12" s="163">
        <f t="shared" si="2"/>
        <v>0</v>
      </c>
      <c r="AJ12" s="165">
        <f t="shared" si="2"/>
        <v>0</v>
      </c>
      <c r="AK12" s="166">
        <f t="shared" si="2"/>
        <v>0</v>
      </c>
      <c r="AL12" s="849"/>
      <c r="AM12" s="850"/>
      <c r="AN12" s="850"/>
      <c r="AO12" s="850"/>
      <c r="AP12" s="850"/>
      <c r="AQ12" s="850"/>
      <c r="AR12" s="851"/>
      <c r="AS12" s="852"/>
      <c r="AT12" s="850"/>
      <c r="AU12" s="851"/>
      <c r="AV12" s="852"/>
      <c r="AW12" s="850"/>
      <c r="AX12" s="850"/>
      <c r="AY12" s="850"/>
      <c r="AZ12" s="853"/>
      <c r="BA12" s="41" t="s">
        <v>1685</v>
      </c>
      <c r="BB12" s="41" t="s">
        <v>1954</v>
      </c>
      <c r="BC12" s="42" t="s">
        <v>1686</v>
      </c>
    </row>
    <row r="13" spans="1:64" ht="17.25" customHeight="1" x14ac:dyDescent="0.2">
      <c r="A13" s="871"/>
      <c r="B13" s="873" t="str">
        <f>VLOOKUP($D$9,'PROYECTOS REGISTRADOS'!$A$2:$D$82,4,0)</f>
        <v>Construcción y mantenimiento de infraestructura municipal Tocancipá, Cundinamarca, Centro Oriente</v>
      </c>
      <c r="C13" s="876" t="str">
        <f>VLOOKUP($D$9,'PROYECTOS REGISTRADOS'!$A$2:$D$82,3,0)</f>
        <v>2016-25817-0036</v>
      </c>
      <c r="D13" s="879" t="s">
        <v>999</v>
      </c>
      <c r="E13" s="882" t="str">
        <f>IF(D13=0,"0-0",(VLOOKUP(D13,'CONSOLIDADO PLAN DESARROLLO'!$EL$9:$ET$304,2,0)))</f>
        <v>Instalación  de bioparques en diferentes sectores del municipio</v>
      </c>
      <c r="F13" s="885" t="str">
        <f>IF(D13=0,"0-0",(VLOOKUP(D13,'CONSOLIDADO PLAN DESARROLLO'!$EL$9:$ET$304,3,0)))</f>
        <v>No. de bioparques instalados</v>
      </c>
      <c r="G13" s="888">
        <f>IF(D13=0,"0-0",(VLOOKUP(D13,'CONSOLIDADO PLAN DESARROLLO'!$EL$9:$ET$304,4,0)))</f>
        <v>12</v>
      </c>
      <c r="H13" s="891">
        <f>IF(D13=0,"0-0",(VLOOKUP(D13,'CONSOLIDADO PLAN DESARROLLO'!$EL$9:$ET$304,5,0)))</f>
        <v>17</v>
      </c>
      <c r="I13" s="894">
        <f>IF(D13=0,"0-0",(VLOOKUP(D13,'CONSOLIDADO PLAN DESARROLLO'!$EL$9:$ET$304,$R$3,0)))</f>
        <v>0</v>
      </c>
      <c r="J13" s="895"/>
      <c r="K13" s="906">
        <v>0</v>
      </c>
      <c r="L13" s="909">
        <v>0</v>
      </c>
      <c r="M13" s="799" t="s">
        <v>1927</v>
      </c>
      <c r="N13" s="798" t="s">
        <v>1928</v>
      </c>
      <c r="O13" s="800">
        <v>2</v>
      </c>
      <c r="P13" s="43">
        <v>0</v>
      </c>
      <c r="Q13" s="43">
        <v>0</v>
      </c>
      <c r="R13" s="912">
        <f>VLOOKUP($D13,'[4]Tablero Logro Metas 2019'!$AK$7:$AS$302,3,0)</f>
        <v>0</v>
      </c>
      <c r="S13" s="44">
        <v>0</v>
      </c>
      <c r="T13" s="915">
        <f>VLOOKUP($D13,'[4]Tablero Logro Metas 2019'!$AK$7:$AS$302,4,0)</f>
        <v>0</v>
      </c>
      <c r="U13" s="44">
        <v>0</v>
      </c>
      <c r="V13" s="915">
        <f>VLOOKUP($D13,'[4]Tablero Logro Metas 2019'!$AK$7:$AS$302,5,0)</f>
        <v>0</v>
      </c>
      <c r="W13" s="44">
        <v>0</v>
      </c>
      <c r="X13" s="915">
        <f>VLOOKUP($D13,'[4]Tablero Logro Metas 2019'!$AK$7:$AS$302,6,0)</f>
        <v>0</v>
      </c>
      <c r="Y13" s="44">
        <v>0</v>
      </c>
      <c r="Z13" s="915">
        <f>VLOOKUP($D13,'[4]Tablero Logro Metas 2019'!$AK$7:$AS$302,7,0)</f>
        <v>0</v>
      </c>
      <c r="AA13" s="45">
        <v>0</v>
      </c>
      <c r="AB13" s="915">
        <f>VLOOKUP($D13,'[4]Tablero Logro Metas 2019'!$AK$7:$AS$302,8,0)</f>
        <v>0</v>
      </c>
      <c r="AC13" s="44">
        <v>0</v>
      </c>
      <c r="AD13" s="915">
        <f>VLOOKUP($D13,'[4]Tablero Logro Metas 2019'!$AK$7:$AS$302,9,0)</f>
        <v>0</v>
      </c>
      <c r="AE13" s="44">
        <v>0</v>
      </c>
      <c r="AF13" s="900"/>
      <c r="AG13" s="44">
        <v>0</v>
      </c>
      <c r="AH13" s="900"/>
      <c r="AI13" s="44">
        <v>0</v>
      </c>
      <c r="AJ13" s="903">
        <f>+R13+T13+V13+X13+Z13+AB13+AD13+AF13+AH13</f>
        <v>0</v>
      </c>
      <c r="AK13" s="99">
        <f t="shared" ref="AK13:AK18" si="3">AC13+AE13+AG13+S13+U13+W13+Y13+AA13+AI13</f>
        <v>0</v>
      </c>
      <c r="AL13" s="47">
        <v>0</v>
      </c>
      <c r="AM13" s="48">
        <v>0</v>
      </c>
      <c r="AN13" s="48">
        <v>0</v>
      </c>
      <c r="AO13" s="48">
        <v>0</v>
      </c>
      <c r="AP13" s="48">
        <v>0</v>
      </c>
      <c r="AQ13" s="48">
        <v>0</v>
      </c>
      <c r="AR13" s="49">
        <f t="shared" ref="AR13:AR18" si="4">SUM(AL13:AQ13)</f>
        <v>0</v>
      </c>
      <c r="AS13" s="50">
        <v>0</v>
      </c>
      <c r="AT13" s="48">
        <v>0</v>
      </c>
      <c r="AU13" s="49">
        <f t="shared" ref="AU13:AU17" si="5">SUM(AS13:AT13)</f>
        <v>0</v>
      </c>
      <c r="AV13" s="50">
        <v>0</v>
      </c>
      <c r="AW13" s="48">
        <v>0</v>
      </c>
      <c r="AX13" s="48">
        <v>0</v>
      </c>
      <c r="AY13" s="48">
        <v>0</v>
      </c>
      <c r="AZ13" s="51">
        <v>0</v>
      </c>
      <c r="BA13" s="52"/>
      <c r="BB13" s="52"/>
      <c r="BC13" s="53" t="s">
        <v>1964</v>
      </c>
    </row>
    <row r="14" spans="1:64" ht="36" x14ac:dyDescent="0.2">
      <c r="A14" s="871"/>
      <c r="B14" s="873"/>
      <c r="C14" s="876"/>
      <c r="D14" s="879"/>
      <c r="E14" s="883"/>
      <c r="F14" s="885"/>
      <c r="G14" s="888"/>
      <c r="H14" s="891"/>
      <c r="I14" s="896"/>
      <c r="J14" s="897"/>
      <c r="K14" s="906"/>
      <c r="L14" s="910"/>
      <c r="M14" s="799" t="s">
        <v>1929</v>
      </c>
      <c r="N14" s="798" t="s">
        <v>1928</v>
      </c>
      <c r="O14" s="800">
        <v>5</v>
      </c>
      <c r="P14" s="43">
        <v>0</v>
      </c>
      <c r="Q14" s="43">
        <v>0</v>
      </c>
      <c r="R14" s="913"/>
      <c r="S14" s="44">
        <v>0</v>
      </c>
      <c r="T14" s="916"/>
      <c r="U14" s="44">
        <v>0</v>
      </c>
      <c r="V14" s="916"/>
      <c r="W14" s="44">
        <v>0</v>
      </c>
      <c r="X14" s="916"/>
      <c r="Y14" s="44">
        <v>0</v>
      </c>
      <c r="Z14" s="916"/>
      <c r="AA14" s="45">
        <v>0</v>
      </c>
      <c r="AB14" s="916"/>
      <c r="AC14" s="44">
        <v>0</v>
      </c>
      <c r="AD14" s="916"/>
      <c r="AE14" s="44">
        <v>0</v>
      </c>
      <c r="AF14" s="901"/>
      <c r="AG14" s="44">
        <v>0</v>
      </c>
      <c r="AH14" s="901"/>
      <c r="AI14" s="44">
        <v>0</v>
      </c>
      <c r="AJ14" s="904"/>
      <c r="AK14" s="99">
        <f t="shared" si="3"/>
        <v>0</v>
      </c>
      <c r="AL14" s="47">
        <v>0</v>
      </c>
      <c r="AM14" s="48">
        <v>0</v>
      </c>
      <c r="AN14" s="48">
        <v>0</v>
      </c>
      <c r="AO14" s="48">
        <v>0</v>
      </c>
      <c r="AP14" s="48">
        <v>0</v>
      </c>
      <c r="AQ14" s="48">
        <v>0</v>
      </c>
      <c r="AR14" s="49">
        <f t="shared" si="4"/>
        <v>0</v>
      </c>
      <c r="AS14" s="50">
        <v>0</v>
      </c>
      <c r="AT14" s="48">
        <v>0</v>
      </c>
      <c r="AU14" s="49">
        <f t="shared" si="5"/>
        <v>0</v>
      </c>
      <c r="AV14" s="50">
        <v>0</v>
      </c>
      <c r="AW14" s="48">
        <v>0</v>
      </c>
      <c r="AX14" s="48">
        <v>0</v>
      </c>
      <c r="AY14" s="48">
        <v>0</v>
      </c>
      <c r="AZ14" s="51">
        <v>0</v>
      </c>
      <c r="BA14" s="52"/>
      <c r="BB14" s="52"/>
      <c r="BC14" s="53" t="s">
        <v>1964</v>
      </c>
    </row>
    <row r="15" spans="1:64" ht="22.5" x14ac:dyDescent="0.2">
      <c r="A15" s="871"/>
      <c r="B15" s="873"/>
      <c r="C15" s="876"/>
      <c r="D15" s="879"/>
      <c r="E15" s="883"/>
      <c r="F15" s="885"/>
      <c r="G15" s="888"/>
      <c r="H15" s="891"/>
      <c r="I15" s="896"/>
      <c r="J15" s="897"/>
      <c r="K15" s="906"/>
      <c r="L15" s="910"/>
      <c r="M15" s="799" t="s">
        <v>1930</v>
      </c>
      <c r="N15" s="798" t="s">
        <v>1928</v>
      </c>
      <c r="O15" s="800">
        <v>5</v>
      </c>
      <c r="P15" s="43">
        <v>0</v>
      </c>
      <c r="Q15" s="43">
        <v>0</v>
      </c>
      <c r="R15" s="913"/>
      <c r="S15" s="44">
        <v>0</v>
      </c>
      <c r="T15" s="916"/>
      <c r="U15" s="45">
        <v>0</v>
      </c>
      <c r="V15" s="916"/>
      <c r="W15" s="45">
        <v>0</v>
      </c>
      <c r="X15" s="916"/>
      <c r="Y15" s="45">
        <v>0</v>
      </c>
      <c r="Z15" s="916"/>
      <c r="AA15" s="45">
        <v>0</v>
      </c>
      <c r="AB15" s="916"/>
      <c r="AC15" s="45">
        <v>0</v>
      </c>
      <c r="AD15" s="916"/>
      <c r="AE15" s="45">
        <v>0</v>
      </c>
      <c r="AF15" s="901"/>
      <c r="AG15" s="46">
        <v>0</v>
      </c>
      <c r="AH15" s="901"/>
      <c r="AI15" s="45">
        <v>0</v>
      </c>
      <c r="AJ15" s="904"/>
      <c r="AK15" s="99">
        <f t="shared" si="3"/>
        <v>0</v>
      </c>
      <c r="AL15" s="47">
        <v>0</v>
      </c>
      <c r="AM15" s="48">
        <v>0</v>
      </c>
      <c r="AN15" s="48">
        <v>0</v>
      </c>
      <c r="AO15" s="48">
        <v>0</v>
      </c>
      <c r="AP15" s="48">
        <v>0</v>
      </c>
      <c r="AQ15" s="48">
        <v>0</v>
      </c>
      <c r="AR15" s="49">
        <f t="shared" si="4"/>
        <v>0</v>
      </c>
      <c r="AS15" s="50">
        <v>0</v>
      </c>
      <c r="AT15" s="48">
        <v>0</v>
      </c>
      <c r="AU15" s="49">
        <f t="shared" si="5"/>
        <v>0</v>
      </c>
      <c r="AV15" s="50">
        <v>0</v>
      </c>
      <c r="AW15" s="48">
        <v>0</v>
      </c>
      <c r="AX15" s="48">
        <v>0</v>
      </c>
      <c r="AY15" s="48">
        <v>0</v>
      </c>
      <c r="AZ15" s="51">
        <v>0</v>
      </c>
      <c r="BA15" s="52"/>
      <c r="BB15" s="52"/>
      <c r="BC15" s="53"/>
    </row>
    <row r="16" spans="1:64" ht="17.25" customHeight="1" x14ac:dyDescent="0.2">
      <c r="A16" s="871"/>
      <c r="B16" s="873"/>
      <c r="C16" s="876"/>
      <c r="D16" s="879"/>
      <c r="E16" s="883"/>
      <c r="F16" s="885"/>
      <c r="G16" s="888"/>
      <c r="H16" s="891"/>
      <c r="I16" s="896"/>
      <c r="J16" s="897"/>
      <c r="K16" s="906"/>
      <c r="L16" s="910"/>
      <c r="M16" s="799" t="s">
        <v>1931</v>
      </c>
      <c r="N16" s="798" t="s">
        <v>1928</v>
      </c>
      <c r="O16" s="800">
        <v>17</v>
      </c>
      <c r="P16" s="43">
        <v>0</v>
      </c>
      <c r="Q16" s="43">
        <v>0</v>
      </c>
      <c r="R16" s="913"/>
      <c r="S16" s="44">
        <v>0</v>
      </c>
      <c r="T16" s="916"/>
      <c r="U16" s="45">
        <v>0</v>
      </c>
      <c r="V16" s="916"/>
      <c r="W16" s="45">
        <v>0</v>
      </c>
      <c r="X16" s="916"/>
      <c r="Y16" s="45">
        <v>0</v>
      </c>
      <c r="Z16" s="916"/>
      <c r="AA16" s="45">
        <v>0</v>
      </c>
      <c r="AB16" s="916"/>
      <c r="AC16" s="45">
        <v>0</v>
      </c>
      <c r="AD16" s="916"/>
      <c r="AE16" s="45">
        <v>0</v>
      </c>
      <c r="AF16" s="901"/>
      <c r="AG16" s="46">
        <v>0</v>
      </c>
      <c r="AH16" s="901"/>
      <c r="AI16" s="45">
        <v>0</v>
      </c>
      <c r="AJ16" s="904"/>
      <c r="AK16" s="99">
        <f t="shared" si="3"/>
        <v>0</v>
      </c>
      <c r="AL16" s="47">
        <v>0</v>
      </c>
      <c r="AM16" s="48">
        <v>0</v>
      </c>
      <c r="AN16" s="48">
        <v>0</v>
      </c>
      <c r="AO16" s="48">
        <v>0</v>
      </c>
      <c r="AP16" s="48">
        <v>0</v>
      </c>
      <c r="AQ16" s="48">
        <v>0</v>
      </c>
      <c r="AR16" s="49">
        <f t="shared" si="4"/>
        <v>0</v>
      </c>
      <c r="AS16" s="50">
        <v>0</v>
      </c>
      <c r="AT16" s="48">
        <v>0</v>
      </c>
      <c r="AU16" s="49">
        <f t="shared" si="5"/>
        <v>0</v>
      </c>
      <c r="AV16" s="50">
        <v>0</v>
      </c>
      <c r="AW16" s="48">
        <v>0</v>
      </c>
      <c r="AX16" s="48">
        <v>0</v>
      </c>
      <c r="AY16" s="48">
        <v>0</v>
      </c>
      <c r="AZ16" s="51">
        <v>0</v>
      </c>
      <c r="BA16" s="52"/>
      <c r="BB16" s="52"/>
      <c r="BC16" s="53"/>
    </row>
    <row r="17" spans="1:55" ht="17.25" customHeight="1" x14ac:dyDescent="0.2">
      <c r="A17" s="871"/>
      <c r="B17" s="873"/>
      <c r="C17" s="876"/>
      <c r="D17" s="879"/>
      <c r="E17" s="883"/>
      <c r="F17" s="885"/>
      <c r="G17" s="888"/>
      <c r="H17" s="891"/>
      <c r="I17" s="896"/>
      <c r="J17" s="897"/>
      <c r="K17" s="906"/>
      <c r="L17" s="910"/>
      <c r="M17" s="167"/>
      <c r="N17" s="168"/>
      <c r="O17" s="169"/>
      <c r="P17" s="43"/>
      <c r="Q17" s="43"/>
      <c r="R17" s="913"/>
      <c r="S17" s="44"/>
      <c r="T17" s="916"/>
      <c r="U17" s="45"/>
      <c r="V17" s="916"/>
      <c r="W17" s="45"/>
      <c r="X17" s="916"/>
      <c r="Y17" s="45"/>
      <c r="Z17" s="916"/>
      <c r="AA17" s="45"/>
      <c r="AB17" s="916"/>
      <c r="AC17" s="45"/>
      <c r="AD17" s="916"/>
      <c r="AE17" s="45"/>
      <c r="AF17" s="901"/>
      <c r="AG17" s="46"/>
      <c r="AH17" s="901"/>
      <c r="AI17" s="45"/>
      <c r="AJ17" s="904"/>
      <c r="AK17" s="99">
        <f t="shared" si="3"/>
        <v>0</v>
      </c>
      <c r="AL17" s="47"/>
      <c r="AM17" s="48"/>
      <c r="AN17" s="48"/>
      <c r="AO17" s="48"/>
      <c r="AP17" s="48"/>
      <c r="AQ17" s="48"/>
      <c r="AR17" s="49">
        <f t="shared" si="4"/>
        <v>0</v>
      </c>
      <c r="AS17" s="50"/>
      <c r="AT17" s="48"/>
      <c r="AU17" s="49">
        <f t="shared" si="5"/>
        <v>0</v>
      </c>
      <c r="AV17" s="50"/>
      <c r="AW17" s="48"/>
      <c r="AX17" s="48"/>
      <c r="AY17" s="48"/>
      <c r="AZ17" s="51"/>
      <c r="BA17" s="52"/>
      <c r="BB17" s="52"/>
      <c r="BC17" s="53"/>
    </row>
    <row r="18" spans="1:55" ht="17.25" customHeight="1" x14ac:dyDescent="0.2">
      <c r="A18" s="871"/>
      <c r="B18" s="874"/>
      <c r="C18" s="877"/>
      <c r="D18" s="880"/>
      <c r="E18" s="883"/>
      <c r="F18" s="886"/>
      <c r="G18" s="889"/>
      <c r="H18" s="892"/>
      <c r="I18" s="896"/>
      <c r="J18" s="897"/>
      <c r="K18" s="907"/>
      <c r="L18" s="910"/>
      <c r="M18" s="170"/>
      <c r="N18" s="171"/>
      <c r="O18" s="172"/>
      <c r="P18" s="100"/>
      <c r="Q18" s="100"/>
      <c r="R18" s="913"/>
      <c r="S18" s="101"/>
      <c r="T18" s="916"/>
      <c r="U18" s="102"/>
      <c r="V18" s="916"/>
      <c r="W18" s="102"/>
      <c r="X18" s="916"/>
      <c r="Y18" s="102"/>
      <c r="Z18" s="916"/>
      <c r="AA18" s="102"/>
      <c r="AB18" s="916"/>
      <c r="AC18" s="102"/>
      <c r="AD18" s="916"/>
      <c r="AE18" s="102"/>
      <c r="AF18" s="901"/>
      <c r="AG18" s="103"/>
      <c r="AH18" s="901"/>
      <c r="AI18" s="102"/>
      <c r="AJ18" s="905"/>
      <c r="AK18" s="99">
        <f t="shared" si="3"/>
        <v>0</v>
      </c>
      <c r="AL18" s="104"/>
      <c r="AM18" s="105"/>
      <c r="AN18" s="105"/>
      <c r="AO18" s="105"/>
      <c r="AP18" s="105"/>
      <c r="AQ18" s="105"/>
      <c r="AR18" s="49">
        <f t="shared" si="4"/>
        <v>0</v>
      </c>
      <c r="AS18" s="106"/>
      <c r="AT18" s="105"/>
      <c r="AU18" s="49">
        <f>SUM(AS18:AT18)</f>
        <v>0</v>
      </c>
      <c r="AV18" s="106"/>
      <c r="AW18" s="105"/>
      <c r="AX18" s="105"/>
      <c r="AY18" s="105"/>
      <c r="AZ18" s="107"/>
      <c r="BA18" s="108"/>
      <c r="BB18" s="108"/>
      <c r="BC18" s="109"/>
    </row>
    <row r="19" spans="1:55" ht="9.9499999999999993" customHeight="1" thickBot="1" x14ac:dyDescent="0.25">
      <c r="A19" s="872"/>
      <c r="B19" s="875"/>
      <c r="C19" s="878"/>
      <c r="D19" s="881"/>
      <c r="E19" s="884"/>
      <c r="F19" s="887"/>
      <c r="G19" s="890"/>
      <c r="H19" s="893"/>
      <c r="I19" s="898"/>
      <c r="J19" s="899"/>
      <c r="K19" s="908"/>
      <c r="L19" s="911"/>
      <c r="M19" s="173"/>
      <c r="N19" s="174"/>
      <c r="O19" s="175"/>
      <c r="P19" s="110"/>
      <c r="Q19" s="110"/>
      <c r="R19" s="914"/>
      <c r="S19" s="176"/>
      <c r="T19" s="917"/>
      <c r="U19" s="177"/>
      <c r="V19" s="917"/>
      <c r="W19" s="177"/>
      <c r="X19" s="917"/>
      <c r="Y19" s="177"/>
      <c r="Z19" s="917"/>
      <c r="AA19" s="177"/>
      <c r="AB19" s="917"/>
      <c r="AC19" s="177"/>
      <c r="AD19" s="917"/>
      <c r="AE19" s="177"/>
      <c r="AF19" s="902"/>
      <c r="AG19" s="178"/>
      <c r="AH19" s="902"/>
      <c r="AI19" s="177"/>
      <c r="AJ19" s="111"/>
      <c r="AK19" s="112"/>
      <c r="AL19" s="179"/>
      <c r="AM19" s="180"/>
      <c r="AN19" s="180"/>
      <c r="AO19" s="180"/>
      <c r="AP19" s="180"/>
      <c r="AQ19" s="180"/>
      <c r="AR19" s="113"/>
      <c r="AS19" s="181"/>
      <c r="AT19" s="180"/>
      <c r="AU19" s="113"/>
      <c r="AV19" s="181"/>
      <c r="AW19" s="180"/>
      <c r="AX19" s="180"/>
      <c r="AY19" s="180"/>
      <c r="AZ19" s="182"/>
      <c r="BA19" s="183"/>
      <c r="BB19" s="183"/>
      <c r="BC19" s="184"/>
    </row>
    <row r="20" spans="1:55" ht="6" customHeight="1" x14ac:dyDescent="0.2">
      <c r="A20" s="149"/>
      <c r="B20" s="185"/>
      <c r="C20" s="185"/>
      <c r="D20" s="185"/>
      <c r="E20" s="185"/>
      <c r="F20" s="185"/>
      <c r="G20" s="185"/>
      <c r="H20" s="185"/>
      <c r="I20" s="918"/>
      <c r="J20" s="918"/>
      <c r="K20" s="185"/>
      <c r="L20" s="185"/>
      <c r="M20" s="185"/>
      <c r="N20" s="185"/>
      <c r="O20" s="185"/>
      <c r="P20" s="185"/>
      <c r="Q20" s="185"/>
      <c r="R20" s="185"/>
      <c r="S20" s="185"/>
      <c r="T20" s="185"/>
      <c r="U20" s="185"/>
      <c r="V20" s="185"/>
      <c r="W20" s="185"/>
      <c r="X20" s="185"/>
      <c r="Y20" s="185"/>
      <c r="Z20" s="185"/>
      <c r="AA20" s="185"/>
      <c r="AB20" s="185"/>
      <c r="AC20" s="185"/>
      <c r="AD20" s="185"/>
      <c r="AE20" s="185"/>
      <c r="AF20" s="185"/>
      <c r="AG20" s="185"/>
      <c r="AH20" s="185"/>
      <c r="AI20" s="185"/>
      <c r="AJ20" s="185"/>
      <c r="AK20" s="186"/>
      <c r="AL20" s="186"/>
      <c r="AM20" s="186"/>
      <c r="AN20" s="186"/>
      <c r="AO20" s="186"/>
      <c r="AP20" s="186"/>
      <c r="AQ20" s="187"/>
      <c r="AR20" s="186"/>
      <c r="AS20" s="186"/>
      <c r="AT20" s="186"/>
      <c r="AU20" s="186"/>
      <c r="AV20" s="186"/>
      <c r="AW20" s="186"/>
      <c r="AX20" s="186"/>
      <c r="AY20" s="186"/>
      <c r="AZ20" s="186"/>
      <c r="BA20" s="186"/>
      <c r="BB20" s="186"/>
      <c r="BC20" s="149"/>
    </row>
    <row r="21" spans="1:55" ht="72" customHeight="1" x14ac:dyDescent="0.2">
      <c r="A21" s="870">
        <v>2</v>
      </c>
      <c r="B21" s="154" t="s">
        <v>1704</v>
      </c>
      <c r="C21" s="155" t="s">
        <v>1705</v>
      </c>
      <c r="D21" s="156" t="s">
        <v>21</v>
      </c>
      <c r="E21" s="156" t="s">
        <v>1890</v>
      </c>
      <c r="F21" s="155" t="s">
        <v>1706</v>
      </c>
      <c r="G21" s="157" t="s">
        <v>1679</v>
      </c>
      <c r="H21" s="157" t="s">
        <v>1680</v>
      </c>
      <c r="I21" s="158" t="s">
        <v>1906</v>
      </c>
      <c r="J21" s="159">
        <f>+$N$3</f>
        <v>2019</v>
      </c>
      <c r="K21" s="157" t="s">
        <v>1923</v>
      </c>
      <c r="L21" s="158" t="s">
        <v>1951</v>
      </c>
      <c r="M21" s="155" t="s">
        <v>1707</v>
      </c>
      <c r="N21" s="155" t="s">
        <v>1708</v>
      </c>
      <c r="O21" s="155" t="s">
        <v>1709</v>
      </c>
      <c r="P21" s="155" t="s">
        <v>1961</v>
      </c>
      <c r="Q21" s="155" t="s">
        <v>1952</v>
      </c>
      <c r="R21" s="160">
        <f>SUM(R22:R28)</f>
        <v>0</v>
      </c>
      <c r="S21" s="161">
        <f t="shared" ref="S21:AK21" si="6">SUM(S22:S28)</f>
        <v>0</v>
      </c>
      <c r="T21" s="162">
        <f t="shared" si="6"/>
        <v>0</v>
      </c>
      <c r="U21" s="163">
        <f t="shared" si="6"/>
        <v>0</v>
      </c>
      <c r="V21" s="162">
        <f t="shared" si="6"/>
        <v>0</v>
      </c>
      <c r="W21" s="163">
        <f t="shared" si="6"/>
        <v>0</v>
      </c>
      <c r="X21" s="162">
        <f t="shared" si="6"/>
        <v>0</v>
      </c>
      <c r="Y21" s="163">
        <f t="shared" si="6"/>
        <v>0</v>
      </c>
      <c r="Z21" s="162">
        <f t="shared" si="6"/>
        <v>10253000000</v>
      </c>
      <c r="AA21" s="163">
        <f t="shared" si="6"/>
        <v>0</v>
      </c>
      <c r="AB21" s="162">
        <f t="shared" si="6"/>
        <v>0</v>
      </c>
      <c r="AC21" s="163">
        <f t="shared" si="6"/>
        <v>0</v>
      </c>
      <c r="AD21" s="162">
        <f t="shared" si="6"/>
        <v>0</v>
      </c>
      <c r="AE21" s="163">
        <f t="shared" si="6"/>
        <v>0</v>
      </c>
      <c r="AF21" s="162">
        <f t="shared" si="6"/>
        <v>0</v>
      </c>
      <c r="AG21" s="164">
        <f t="shared" si="6"/>
        <v>0</v>
      </c>
      <c r="AH21" s="162">
        <f t="shared" si="6"/>
        <v>0</v>
      </c>
      <c r="AI21" s="163">
        <f t="shared" si="6"/>
        <v>0</v>
      </c>
      <c r="AJ21" s="165">
        <f t="shared" si="6"/>
        <v>10253000000</v>
      </c>
      <c r="AK21" s="166">
        <f t="shared" si="6"/>
        <v>0</v>
      </c>
      <c r="AL21" s="849"/>
      <c r="AM21" s="850"/>
      <c r="AN21" s="850"/>
      <c r="AO21" s="850"/>
      <c r="AP21" s="850"/>
      <c r="AQ21" s="850"/>
      <c r="AR21" s="851"/>
      <c r="AS21" s="852"/>
      <c r="AT21" s="850"/>
      <c r="AU21" s="851"/>
      <c r="AV21" s="852"/>
      <c r="AW21" s="850"/>
      <c r="AX21" s="850"/>
      <c r="AY21" s="850"/>
      <c r="AZ21" s="853"/>
      <c r="BA21" s="41" t="s">
        <v>1685</v>
      </c>
      <c r="BB21" s="41" t="s">
        <v>1954</v>
      </c>
      <c r="BC21" s="42" t="s">
        <v>1686</v>
      </c>
    </row>
    <row r="22" spans="1:55" ht="17.25" customHeight="1" x14ac:dyDescent="0.2">
      <c r="A22" s="871"/>
      <c r="B22" s="873" t="str">
        <f>VLOOKUP($D$9,'PROYECTOS REGISTRADOS'!$A$2:$D$82,4,0)</f>
        <v>Construcción y mantenimiento de infraestructura municipal Tocancipá, Cundinamarca, Centro Oriente</v>
      </c>
      <c r="C22" s="876" t="str">
        <f>VLOOKUP($D$9,'PROYECTOS REGISTRADOS'!$A$2:$D$82,3,0)</f>
        <v>2016-25817-0036</v>
      </c>
      <c r="D22" s="879" t="s">
        <v>1003</v>
      </c>
      <c r="E22" s="882" t="str">
        <f>IF(D22=0,"0-0",(VLOOKUP(D22,'CONSOLIDADO PLAN DESARROLLO'!$EL$9:$ET$304,2,0)))</f>
        <v>Realizar la  ampliación, adecuación y/o remodelación de infraestructura educativa</v>
      </c>
      <c r="F22" s="885" t="str">
        <f>IF(D22=0,"0-0",(VLOOKUP(D22,'CONSOLIDADO PLAN DESARROLLO'!$EL$9:$ET$304,3,0)))</f>
        <v>No. de edificaciones públicas ampliadas adecuadas y/o remodeladas</v>
      </c>
      <c r="G22" s="888">
        <f>IF(D22=0,"0-0",(VLOOKUP(D22,'CONSOLIDADO PLAN DESARROLLO'!$EL$9:$ET$304,4,0)))</f>
        <v>0</v>
      </c>
      <c r="H22" s="891">
        <f>IF(D22=0,"0-0",(VLOOKUP(D22,'CONSOLIDADO PLAN DESARROLLO'!$EL$9:$ET$304,5,0)))</f>
        <v>3</v>
      </c>
      <c r="I22" s="894">
        <f>IF(D22=0,"0-0",(VLOOKUP(D22,'CONSOLIDADO PLAN DESARROLLO'!$EL$9:$ET$304,$R$3,0)))</f>
        <v>1</v>
      </c>
      <c r="J22" s="895"/>
      <c r="K22" s="906">
        <v>0</v>
      </c>
      <c r="L22" s="909">
        <v>0</v>
      </c>
      <c r="M22" s="797" t="s">
        <v>1932</v>
      </c>
      <c r="N22" s="798" t="s">
        <v>1928</v>
      </c>
      <c r="O22" s="800">
        <v>3</v>
      </c>
      <c r="P22" s="43">
        <v>0</v>
      </c>
      <c r="Q22" s="43">
        <v>0</v>
      </c>
      <c r="R22" s="912">
        <f>VLOOKUP($D22,'[4]Tablero Logro Metas 2019'!$AK$7:$AS$302,3,0)</f>
        <v>0</v>
      </c>
      <c r="S22" s="44">
        <v>0</v>
      </c>
      <c r="T22" s="915">
        <f>VLOOKUP($D22,'[4]Tablero Logro Metas 2019'!$AK$7:$AS$302,4,0)</f>
        <v>0</v>
      </c>
      <c r="U22" s="45">
        <v>0</v>
      </c>
      <c r="V22" s="915">
        <f>VLOOKUP($D22,'[4]Tablero Logro Metas 2019'!$AK$7:$AS$302,5,0)</f>
        <v>0</v>
      </c>
      <c r="W22" s="45">
        <v>0</v>
      </c>
      <c r="X22" s="915">
        <f>VLOOKUP($D22,'[4]Tablero Logro Metas 2019'!$AK$7:$AS$302,6,0)</f>
        <v>0</v>
      </c>
      <c r="Y22" s="45">
        <v>0</v>
      </c>
      <c r="Z22" s="915">
        <f>VLOOKUP($D22,'[4]Tablero Logro Metas 2019'!$AK$7:$AS$302,7,0)</f>
        <v>10253000000</v>
      </c>
      <c r="AA22" s="45">
        <v>0</v>
      </c>
      <c r="AB22" s="915">
        <f>VLOOKUP($D22,'[4]Tablero Logro Metas 2019'!$AK$7:$AS$302,8,0)</f>
        <v>0</v>
      </c>
      <c r="AC22" s="45">
        <v>0</v>
      </c>
      <c r="AD22" s="915">
        <f>VLOOKUP($D22,'[4]Tablero Logro Metas 2019'!$AK$7:$AS$302,9,0)</f>
        <v>0</v>
      </c>
      <c r="AE22" s="45">
        <v>0</v>
      </c>
      <c r="AF22" s="900"/>
      <c r="AG22" s="46">
        <v>0</v>
      </c>
      <c r="AH22" s="900"/>
      <c r="AI22" s="45">
        <v>0</v>
      </c>
      <c r="AJ22" s="903">
        <f>+R22+T22+V22+X22+Z22+AB22+AD22+AF22+AH22</f>
        <v>10253000000</v>
      </c>
      <c r="AK22" s="99">
        <f t="shared" ref="AK22:AK27" si="7">AC22+AE22+AG22+S22+U22+W22+Y22+AA22+AI22</f>
        <v>0</v>
      </c>
      <c r="AL22" s="47">
        <v>0</v>
      </c>
      <c r="AM22" s="48">
        <v>0</v>
      </c>
      <c r="AN22" s="48">
        <v>0</v>
      </c>
      <c r="AO22" s="48">
        <v>0</v>
      </c>
      <c r="AP22" s="48">
        <v>0</v>
      </c>
      <c r="AQ22" s="48">
        <v>0</v>
      </c>
      <c r="AR22" s="49">
        <f t="shared" ref="AR22:AR24" si="8">SUM(AL22:AQ22)</f>
        <v>0</v>
      </c>
      <c r="AS22" s="50">
        <v>0</v>
      </c>
      <c r="AT22" s="48">
        <v>0</v>
      </c>
      <c r="AU22" s="49">
        <f t="shared" ref="AU22:AU24" si="9">SUM(AS22:AT22)</f>
        <v>0</v>
      </c>
      <c r="AV22" s="50">
        <v>0</v>
      </c>
      <c r="AW22" s="48">
        <v>0</v>
      </c>
      <c r="AX22" s="48">
        <v>0</v>
      </c>
      <c r="AY22" s="48">
        <v>0</v>
      </c>
      <c r="AZ22" s="51">
        <v>0</v>
      </c>
      <c r="BA22" s="52"/>
      <c r="BB22" s="52"/>
      <c r="BC22" s="53" t="s">
        <v>1964</v>
      </c>
    </row>
    <row r="23" spans="1:55" ht="17.25" customHeight="1" x14ac:dyDescent="0.2">
      <c r="A23" s="871"/>
      <c r="B23" s="873"/>
      <c r="C23" s="876"/>
      <c r="D23" s="879"/>
      <c r="E23" s="883"/>
      <c r="F23" s="885"/>
      <c r="G23" s="888"/>
      <c r="H23" s="891"/>
      <c r="I23" s="896"/>
      <c r="J23" s="897"/>
      <c r="K23" s="906"/>
      <c r="L23" s="910"/>
      <c r="M23" s="797" t="s">
        <v>1933</v>
      </c>
      <c r="N23" s="798" t="s">
        <v>1928</v>
      </c>
      <c r="O23" s="800">
        <v>3</v>
      </c>
      <c r="P23" s="43">
        <v>0</v>
      </c>
      <c r="Q23" s="43">
        <v>0</v>
      </c>
      <c r="R23" s="913"/>
      <c r="S23" s="44">
        <v>0</v>
      </c>
      <c r="T23" s="916"/>
      <c r="U23" s="45">
        <v>0</v>
      </c>
      <c r="V23" s="916"/>
      <c r="W23" s="45">
        <v>0</v>
      </c>
      <c r="X23" s="916"/>
      <c r="Y23" s="45">
        <v>0</v>
      </c>
      <c r="Z23" s="916"/>
      <c r="AA23" s="45">
        <v>0</v>
      </c>
      <c r="AB23" s="916"/>
      <c r="AC23" s="45">
        <v>0</v>
      </c>
      <c r="AD23" s="916"/>
      <c r="AE23" s="45">
        <v>0</v>
      </c>
      <c r="AF23" s="901"/>
      <c r="AG23" s="46">
        <v>0</v>
      </c>
      <c r="AH23" s="901"/>
      <c r="AI23" s="45">
        <v>0</v>
      </c>
      <c r="AJ23" s="904"/>
      <c r="AK23" s="99">
        <f t="shared" si="7"/>
        <v>0</v>
      </c>
      <c r="AL23" s="47">
        <v>0</v>
      </c>
      <c r="AM23" s="48">
        <v>0</v>
      </c>
      <c r="AN23" s="48">
        <v>0</v>
      </c>
      <c r="AO23" s="48">
        <v>0</v>
      </c>
      <c r="AP23" s="48">
        <v>0</v>
      </c>
      <c r="AQ23" s="48">
        <v>0</v>
      </c>
      <c r="AR23" s="49">
        <f t="shared" si="8"/>
        <v>0</v>
      </c>
      <c r="AS23" s="50">
        <v>0</v>
      </c>
      <c r="AT23" s="48">
        <v>0</v>
      </c>
      <c r="AU23" s="49">
        <f t="shared" si="9"/>
        <v>0</v>
      </c>
      <c r="AV23" s="50">
        <v>0</v>
      </c>
      <c r="AW23" s="48">
        <v>0</v>
      </c>
      <c r="AX23" s="48">
        <v>0</v>
      </c>
      <c r="AY23" s="48">
        <v>0</v>
      </c>
      <c r="AZ23" s="51">
        <v>0</v>
      </c>
      <c r="BA23" s="52"/>
      <c r="BB23" s="52"/>
      <c r="BC23" s="53" t="s">
        <v>1964</v>
      </c>
    </row>
    <row r="24" spans="1:55" ht="17.25" customHeight="1" x14ac:dyDescent="0.2">
      <c r="A24" s="871"/>
      <c r="B24" s="873"/>
      <c r="C24" s="876"/>
      <c r="D24" s="879"/>
      <c r="E24" s="883"/>
      <c r="F24" s="885"/>
      <c r="G24" s="888"/>
      <c r="H24" s="891"/>
      <c r="I24" s="896"/>
      <c r="J24" s="897"/>
      <c r="K24" s="906"/>
      <c r="L24" s="910"/>
      <c r="M24" s="797" t="s">
        <v>1934</v>
      </c>
      <c r="N24" s="798" t="s">
        <v>1928</v>
      </c>
      <c r="O24" s="800">
        <v>3</v>
      </c>
      <c r="P24" s="43">
        <v>0</v>
      </c>
      <c r="Q24" s="43">
        <v>0</v>
      </c>
      <c r="R24" s="913"/>
      <c r="S24" s="44">
        <v>0</v>
      </c>
      <c r="T24" s="916"/>
      <c r="U24" s="45">
        <v>0</v>
      </c>
      <c r="V24" s="916"/>
      <c r="W24" s="45">
        <v>0</v>
      </c>
      <c r="X24" s="916"/>
      <c r="Y24" s="45">
        <v>0</v>
      </c>
      <c r="Z24" s="916"/>
      <c r="AA24" s="45">
        <v>0</v>
      </c>
      <c r="AB24" s="916"/>
      <c r="AC24" s="45">
        <v>0</v>
      </c>
      <c r="AD24" s="916"/>
      <c r="AE24" s="45">
        <v>0</v>
      </c>
      <c r="AF24" s="901"/>
      <c r="AG24" s="46">
        <v>0</v>
      </c>
      <c r="AH24" s="901"/>
      <c r="AI24" s="45">
        <v>0</v>
      </c>
      <c r="AJ24" s="904"/>
      <c r="AK24" s="99">
        <f t="shared" si="7"/>
        <v>0</v>
      </c>
      <c r="AL24" s="47">
        <v>0</v>
      </c>
      <c r="AM24" s="48">
        <v>0</v>
      </c>
      <c r="AN24" s="48">
        <v>0</v>
      </c>
      <c r="AO24" s="48">
        <v>0</v>
      </c>
      <c r="AP24" s="48">
        <v>0</v>
      </c>
      <c r="AQ24" s="48">
        <v>0</v>
      </c>
      <c r="AR24" s="49">
        <f t="shared" si="8"/>
        <v>0</v>
      </c>
      <c r="AS24" s="50">
        <v>0</v>
      </c>
      <c r="AT24" s="48">
        <v>0</v>
      </c>
      <c r="AU24" s="49">
        <f t="shared" si="9"/>
        <v>0</v>
      </c>
      <c r="AV24" s="50">
        <v>0</v>
      </c>
      <c r="AW24" s="48">
        <v>0</v>
      </c>
      <c r="AX24" s="48">
        <v>0</v>
      </c>
      <c r="AY24" s="48">
        <v>0</v>
      </c>
      <c r="AZ24" s="51">
        <v>0</v>
      </c>
      <c r="BA24" s="52"/>
      <c r="BB24" s="52"/>
      <c r="BC24" s="53" t="s">
        <v>1964</v>
      </c>
    </row>
    <row r="25" spans="1:55" ht="17.25" customHeight="1" x14ac:dyDescent="0.2">
      <c r="A25" s="871"/>
      <c r="B25" s="873"/>
      <c r="C25" s="876"/>
      <c r="D25" s="879"/>
      <c r="E25" s="883"/>
      <c r="F25" s="885"/>
      <c r="G25" s="888"/>
      <c r="H25" s="891"/>
      <c r="I25" s="896"/>
      <c r="J25" s="897"/>
      <c r="K25" s="906"/>
      <c r="L25" s="910"/>
      <c r="M25" s="167"/>
      <c r="N25" s="168"/>
      <c r="O25" s="169"/>
      <c r="P25" s="43"/>
      <c r="Q25" s="43"/>
      <c r="R25" s="913"/>
      <c r="S25" s="44"/>
      <c r="T25" s="916"/>
      <c r="U25" s="45"/>
      <c r="V25" s="916"/>
      <c r="W25" s="45"/>
      <c r="X25" s="916"/>
      <c r="Y25" s="45"/>
      <c r="Z25" s="916"/>
      <c r="AA25" s="45"/>
      <c r="AB25" s="916"/>
      <c r="AC25" s="45"/>
      <c r="AD25" s="916"/>
      <c r="AE25" s="45"/>
      <c r="AF25" s="901"/>
      <c r="AG25" s="46"/>
      <c r="AH25" s="901"/>
      <c r="AI25" s="45"/>
      <c r="AJ25" s="904"/>
      <c r="AK25" s="99">
        <f t="shared" si="7"/>
        <v>0</v>
      </c>
      <c r="AL25" s="47"/>
      <c r="AM25" s="48"/>
      <c r="AN25" s="48"/>
      <c r="AO25" s="48"/>
      <c r="AP25" s="48"/>
      <c r="AQ25" s="48"/>
      <c r="AR25" s="49">
        <f t="shared" ref="AR25:AR27" si="10">SUM(AL25:AQ25)</f>
        <v>0</v>
      </c>
      <c r="AS25" s="50"/>
      <c r="AT25" s="48"/>
      <c r="AU25" s="49">
        <f t="shared" ref="AU25:AU26" si="11">SUM(AS25:AT25)</f>
        <v>0</v>
      </c>
      <c r="AV25" s="50"/>
      <c r="AW25" s="48"/>
      <c r="AX25" s="48"/>
      <c r="AY25" s="48"/>
      <c r="AZ25" s="51"/>
      <c r="BA25" s="52"/>
      <c r="BB25" s="52"/>
      <c r="BC25" s="53"/>
    </row>
    <row r="26" spans="1:55" ht="17.25" customHeight="1" x14ac:dyDescent="0.2">
      <c r="A26" s="871"/>
      <c r="B26" s="873"/>
      <c r="C26" s="876"/>
      <c r="D26" s="879"/>
      <c r="E26" s="883"/>
      <c r="F26" s="885"/>
      <c r="G26" s="888"/>
      <c r="H26" s="891"/>
      <c r="I26" s="896"/>
      <c r="J26" s="897"/>
      <c r="K26" s="906"/>
      <c r="L26" s="910"/>
      <c r="M26" s="167"/>
      <c r="N26" s="168"/>
      <c r="O26" s="169"/>
      <c r="P26" s="43"/>
      <c r="Q26" s="43"/>
      <c r="R26" s="913"/>
      <c r="S26" s="44"/>
      <c r="T26" s="916"/>
      <c r="U26" s="45"/>
      <c r="V26" s="916"/>
      <c r="W26" s="45"/>
      <c r="X26" s="916"/>
      <c r="Y26" s="45"/>
      <c r="Z26" s="916"/>
      <c r="AA26" s="45"/>
      <c r="AB26" s="916"/>
      <c r="AC26" s="45"/>
      <c r="AD26" s="916"/>
      <c r="AE26" s="45"/>
      <c r="AF26" s="901"/>
      <c r="AG26" s="46"/>
      <c r="AH26" s="901"/>
      <c r="AI26" s="45"/>
      <c r="AJ26" s="904"/>
      <c r="AK26" s="99">
        <f t="shared" si="7"/>
        <v>0</v>
      </c>
      <c r="AL26" s="47"/>
      <c r="AM26" s="48"/>
      <c r="AN26" s="48"/>
      <c r="AO26" s="48"/>
      <c r="AP26" s="48"/>
      <c r="AQ26" s="48"/>
      <c r="AR26" s="49">
        <f t="shared" si="10"/>
        <v>0</v>
      </c>
      <c r="AS26" s="50"/>
      <c r="AT26" s="48"/>
      <c r="AU26" s="49">
        <f t="shared" si="11"/>
        <v>0</v>
      </c>
      <c r="AV26" s="50"/>
      <c r="AW26" s="48"/>
      <c r="AX26" s="48"/>
      <c r="AY26" s="48"/>
      <c r="AZ26" s="51"/>
      <c r="BA26" s="52"/>
      <c r="BB26" s="52"/>
      <c r="BC26" s="53"/>
    </row>
    <row r="27" spans="1:55" ht="17.25" customHeight="1" x14ac:dyDescent="0.2">
      <c r="A27" s="871"/>
      <c r="B27" s="874"/>
      <c r="C27" s="877"/>
      <c r="D27" s="880"/>
      <c r="E27" s="883"/>
      <c r="F27" s="886"/>
      <c r="G27" s="889"/>
      <c r="H27" s="892"/>
      <c r="I27" s="896"/>
      <c r="J27" s="897"/>
      <c r="K27" s="907"/>
      <c r="L27" s="910"/>
      <c r="M27" s="170"/>
      <c r="N27" s="171"/>
      <c r="O27" s="172"/>
      <c r="P27" s="100"/>
      <c r="Q27" s="100"/>
      <c r="R27" s="913"/>
      <c r="S27" s="101"/>
      <c r="T27" s="916"/>
      <c r="U27" s="102"/>
      <c r="V27" s="916"/>
      <c r="W27" s="102"/>
      <c r="X27" s="916"/>
      <c r="Y27" s="102"/>
      <c r="Z27" s="916"/>
      <c r="AA27" s="102"/>
      <c r="AB27" s="916"/>
      <c r="AC27" s="102"/>
      <c r="AD27" s="916"/>
      <c r="AE27" s="102"/>
      <c r="AF27" s="901"/>
      <c r="AG27" s="103"/>
      <c r="AH27" s="901"/>
      <c r="AI27" s="102"/>
      <c r="AJ27" s="905"/>
      <c r="AK27" s="99">
        <f t="shared" si="7"/>
        <v>0</v>
      </c>
      <c r="AL27" s="104"/>
      <c r="AM27" s="105"/>
      <c r="AN27" s="105"/>
      <c r="AO27" s="105"/>
      <c r="AP27" s="105"/>
      <c r="AQ27" s="105"/>
      <c r="AR27" s="49">
        <f t="shared" si="10"/>
        <v>0</v>
      </c>
      <c r="AS27" s="106"/>
      <c r="AT27" s="105"/>
      <c r="AU27" s="49">
        <f>SUM(AS27:AT27)</f>
        <v>0</v>
      </c>
      <c r="AV27" s="106"/>
      <c r="AW27" s="105"/>
      <c r="AX27" s="105"/>
      <c r="AY27" s="105"/>
      <c r="AZ27" s="107"/>
      <c r="BA27" s="108"/>
      <c r="BB27" s="108"/>
      <c r="BC27" s="109"/>
    </row>
    <row r="28" spans="1:55" ht="9.9499999999999993" customHeight="1" thickBot="1" x14ac:dyDescent="0.25">
      <c r="A28" s="872"/>
      <c r="B28" s="875"/>
      <c r="C28" s="878"/>
      <c r="D28" s="881"/>
      <c r="E28" s="884"/>
      <c r="F28" s="887"/>
      <c r="G28" s="890"/>
      <c r="H28" s="893"/>
      <c r="I28" s="898"/>
      <c r="J28" s="899"/>
      <c r="K28" s="908"/>
      <c r="L28" s="911"/>
      <c r="M28" s="173"/>
      <c r="N28" s="174"/>
      <c r="O28" s="175"/>
      <c r="P28" s="110"/>
      <c r="Q28" s="110"/>
      <c r="R28" s="914"/>
      <c r="S28" s="176"/>
      <c r="T28" s="917"/>
      <c r="U28" s="177"/>
      <c r="V28" s="917"/>
      <c r="W28" s="177"/>
      <c r="X28" s="917"/>
      <c r="Y28" s="177"/>
      <c r="Z28" s="917"/>
      <c r="AA28" s="177"/>
      <c r="AB28" s="917"/>
      <c r="AC28" s="177"/>
      <c r="AD28" s="917"/>
      <c r="AE28" s="177"/>
      <c r="AF28" s="902"/>
      <c r="AG28" s="178"/>
      <c r="AH28" s="902"/>
      <c r="AI28" s="177"/>
      <c r="AJ28" s="111"/>
      <c r="AK28" s="112"/>
      <c r="AL28" s="179"/>
      <c r="AM28" s="180"/>
      <c r="AN28" s="180"/>
      <c r="AO28" s="180"/>
      <c r="AP28" s="180"/>
      <c r="AQ28" s="180"/>
      <c r="AR28" s="113"/>
      <c r="AS28" s="181"/>
      <c r="AT28" s="180"/>
      <c r="AU28" s="113"/>
      <c r="AV28" s="181"/>
      <c r="AW28" s="180"/>
      <c r="AX28" s="180"/>
      <c r="AY28" s="180"/>
      <c r="AZ28" s="182"/>
      <c r="BA28" s="183"/>
      <c r="BB28" s="183"/>
      <c r="BC28" s="184"/>
    </row>
    <row r="29" spans="1:55" ht="6" customHeight="1" x14ac:dyDescent="0.2">
      <c r="A29" s="149"/>
      <c r="B29" s="185"/>
      <c r="C29" s="185"/>
      <c r="D29" s="185"/>
      <c r="E29" s="185"/>
      <c r="F29" s="185"/>
      <c r="G29" s="185"/>
      <c r="H29" s="185"/>
      <c r="I29" s="918"/>
      <c r="J29" s="918"/>
      <c r="K29" s="185"/>
      <c r="L29" s="185"/>
      <c r="M29" s="185"/>
      <c r="N29" s="185"/>
      <c r="O29" s="185"/>
      <c r="P29" s="185"/>
      <c r="Q29" s="185"/>
      <c r="R29" s="185"/>
      <c r="S29" s="185"/>
      <c r="T29" s="185"/>
      <c r="U29" s="185"/>
      <c r="V29" s="185"/>
      <c r="W29" s="185"/>
      <c r="X29" s="185"/>
      <c r="Y29" s="185"/>
      <c r="Z29" s="185"/>
      <c r="AA29" s="185"/>
      <c r="AB29" s="185"/>
      <c r="AC29" s="185"/>
      <c r="AD29" s="185"/>
      <c r="AE29" s="185"/>
      <c r="AF29" s="185"/>
      <c r="AG29" s="185"/>
      <c r="AH29" s="185"/>
      <c r="AI29" s="185"/>
      <c r="AJ29" s="185"/>
      <c r="AK29" s="186"/>
      <c r="AL29" s="186"/>
      <c r="AM29" s="186"/>
      <c r="AN29" s="186"/>
      <c r="AO29" s="186"/>
      <c r="AP29" s="186"/>
      <c r="AQ29" s="187"/>
      <c r="AR29" s="186"/>
      <c r="AS29" s="186"/>
      <c r="AT29" s="186"/>
      <c r="AU29" s="186"/>
      <c r="AV29" s="186"/>
      <c r="AW29" s="186"/>
      <c r="AX29" s="186"/>
      <c r="AY29" s="186"/>
      <c r="AZ29" s="186"/>
      <c r="BA29" s="186"/>
      <c r="BB29" s="186"/>
      <c r="BC29" s="149"/>
    </row>
    <row r="30" spans="1:55" ht="72" customHeight="1" x14ac:dyDescent="0.2">
      <c r="A30" s="870">
        <v>3</v>
      </c>
      <c r="B30" s="154" t="s">
        <v>1704</v>
      </c>
      <c r="C30" s="155" t="s">
        <v>1705</v>
      </c>
      <c r="D30" s="156" t="s">
        <v>21</v>
      </c>
      <c r="E30" s="156" t="s">
        <v>1890</v>
      </c>
      <c r="F30" s="155" t="s">
        <v>1706</v>
      </c>
      <c r="G30" s="157" t="s">
        <v>1679</v>
      </c>
      <c r="H30" s="157" t="s">
        <v>1680</v>
      </c>
      <c r="I30" s="158" t="s">
        <v>1906</v>
      </c>
      <c r="J30" s="159">
        <f>+$N$3</f>
        <v>2019</v>
      </c>
      <c r="K30" s="157" t="s">
        <v>1923</v>
      </c>
      <c r="L30" s="158" t="s">
        <v>1951</v>
      </c>
      <c r="M30" s="155" t="s">
        <v>1707</v>
      </c>
      <c r="N30" s="155" t="s">
        <v>1708</v>
      </c>
      <c r="O30" s="155" t="s">
        <v>1709</v>
      </c>
      <c r="P30" s="155" t="s">
        <v>1961</v>
      </c>
      <c r="Q30" s="155" t="s">
        <v>1952</v>
      </c>
      <c r="R30" s="160">
        <f>SUM(R31:R37)</f>
        <v>0</v>
      </c>
      <c r="S30" s="161">
        <f t="shared" ref="S30:AK30" si="12">SUM(S31:S37)</f>
        <v>0</v>
      </c>
      <c r="T30" s="162">
        <f t="shared" si="12"/>
        <v>0</v>
      </c>
      <c r="U30" s="163">
        <f t="shared" si="12"/>
        <v>0</v>
      </c>
      <c r="V30" s="162">
        <f t="shared" si="12"/>
        <v>0</v>
      </c>
      <c r="W30" s="163">
        <f t="shared" si="12"/>
        <v>0</v>
      </c>
      <c r="X30" s="162">
        <f t="shared" si="12"/>
        <v>0</v>
      </c>
      <c r="Y30" s="163">
        <f t="shared" si="12"/>
        <v>0</v>
      </c>
      <c r="Z30" s="162">
        <f t="shared" si="12"/>
        <v>0</v>
      </c>
      <c r="AA30" s="163">
        <f t="shared" si="12"/>
        <v>0</v>
      </c>
      <c r="AB30" s="162">
        <f t="shared" si="12"/>
        <v>509266177</v>
      </c>
      <c r="AC30" s="163">
        <f t="shared" si="12"/>
        <v>509260145</v>
      </c>
      <c r="AD30" s="162">
        <f t="shared" si="12"/>
        <v>0</v>
      </c>
      <c r="AE30" s="163">
        <f t="shared" si="12"/>
        <v>0</v>
      </c>
      <c r="AF30" s="162">
        <f t="shared" si="12"/>
        <v>0</v>
      </c>
      <c r="AG30" s="164">
        <f t="shared" si="12"/>
        <v>0</v>
      </c>
      <c r="AH30" s="162">
        <f t="shared" si="12"/>
        <v>0</v>
      </c>
      <c r="AI30" s="163">
        <f t="shared" si="12"/>
        <v>0</v>
      </c>
      <c r="AJ30" s="165">
        <f t="shared" si="12"/>
        <v>509266177</v>
      </c>
      <c r="AK30" s="166">
        <f t="shared" si="12"/>
        <v>509260145</v>
      </c>
      <c r="AL30" s="849"/>
      <c r="AM30" s="850"/>
      <c r="AN30" s="850"/>
      <c r="AO30" s="850"/>
      <c r="AP30" s="850"/>
      <c r="AQ30" s="850"/>
      <c r="AR30" s="851"/>
      <c r="AS30" s="852"/>
      <c r="AT30" s="850"/>
      <c r="AU30" s="851"/>
      <c r="AV30" s="852"/>
      <c r="AW30" s="850"/>
      <c r="AX30" s="850"/>
      <c r="AY30" s="850"/>
      <c r="AZ30" s="853"/>
      <c r="BA30" s="41" t="s">
        <v>1685</v>
      </c>
      <c r="BB30" s="41" t="s">
        <v>1954</v>
      </c>
      <c r="BC30" s="42" t="s">
        <v>1686</v>
      </c>
    </row>
    <row r="31" spans="1:55" ht="22.5" customHeight="1" x14ac:dyDescent="0.2">
      <c r="A31" s="871"/>
      <c r="B31" s="873" t="str">
        <f>VLOOKUP($D$9,'PROYECTOS REGISTRADOS'!$A$2:$D$82,4,0)</f>
        <v>Construcción y mantenimiento de infraestructura municipal Tocancipá, Cundinamarca, Centro Oriente</v>
      </c>
      <c r="C31" s="876" t="str">
        <f>VLOOKUP($D$9,'PROYECTOS REGISTRADOS'!$A$2:$D$82,3,0)</f>
        <v>2016-25817-0036</v>
      </c>
      <c r="D31" s="879" t="s">
        <v>1007</v>
      </c>
      <c r="E31" s="882" t="str">
        <f>IF(D31=0,"0-0",(VLOOKUP(D31,'CONSOLIDADO PLAN DESARROLLO'!$EL$9:$ET$304,2,0)))</f>
        <v>Realizar el mantenimiento de infraestructura educativa</v>
      </c>
      <c r="F31" s="885" t="str">
        <f>IF(D31=0,"0-0",(VLOOKUP(D31,'CONSOLIDADO PLAN DESARROLLO'!$EL$9:$ET$304,3,0)))</f>
        <v>No. de edificaciones públicas mantenidas</v>
      </c>
      <c r="G31" s="888">
        <f>IF(D31=0,"0-0",(VLOOKUP(D31,'CONSOLIDADO PLAN DESARROLLO'!$EL$9:$ET$304,4,0)))</f>
        <v>12</v>
      </c>
      <c r="H31" s="891">
        <f>IF(D31=0,"0-0",(VLOOKUP(D31,'CONSOLIDADO PLAN DESARROLLO'!$EL$9:$ET$304,5,0)))</f>
        <v>12</v>
      </c>
      <c r="I31" s="894">
        <f>IF(D31=0,"0-0",(VLOOKUP(D31,'CONSOLIDADO PLAN DESARROLLO'!$EL$9:$ET$304,$R$3,0)))</f>
        <v>4</v>
      </c>
      <c r="J31" s="895"/>
      <c r="K31" s="906">
        <v>0.1</v>
      </c>
      <c r="L31" s="909">
        <v>4</v>
      </c>
      <c r="M31" s="799" t="s">
        <v>1935</v>
      </c>
      <c r="N31" s="798" t="s">
        <v>1928</v>
      </c>
      <c r="O31" s="800">
        <v>4</v>
      </c>
      <c r="P31" s="43">
        <v>0</v>
      </c>
      <c r="Q31" s="43">
        <v>0</v>
      </c>
      <c r="R31" s="912">
        <f>VLOOKUP($D31,'[4]Tablero Logro Metas 2019'!$AK$7:$AS$302,3,0)</f>
        <v>0</v>
      </c>
      <c r="S31" s="44">
        <v>0</v>
      </c>
      <c r="T31" s="915">
        <f>VLOOKUP($D31,'[4]Tablero Logro Metas 2019'!$AK$7:$AS$302,4,0)</f>
        <v>0</v>
      </c>
      <c r="U31" s="45">
        <v>0</v>
      </c>
      <c r="V31" s="915">
        <f>VLOOKUP($D31,'[4]Tablero Logro Metas 2019'!$AK$7:$AS$302,5,0)</f>
        <v>0</v>
      </c>
      <c r="W31" s="45">
        <v>0</v>
      </c>
      <c r="X31" s="915">
        <f>VLOOKUP($D31,'[4]Tablero Logro Metas 2019'!$AK$7:$AS$302,6,0)</f>
        <v>0</v>
      </c>
      <c r="Y31" s="45">
        <v>0</v>
      </c>
      <c r="Z31" s="915">
        <f>VLOOKUP($D31,'[4]Tablero Logro Metas 2019'!$AK$7:$AS$302,7,0)</f>
        <v>0</v>
      </c>
      <c r="AA31" s="45">
        <v>0</v>
      </c>
      <c r="AB31" s="915">
        <f>VLOOKUP($D31,'[4]Tablero Logro Metas 2019'!$AK$7:$AS$302,8,0)</f>
        <v>509266177</v>
      </c>
      <c r="AC31" s="45">
        <v>0</v>
      </c>
      <c r="AD31" s="915">
        <f>VLOOKUP($D31,'[4]Tablero Logro Metas 2019'!$AK$7:$AS$302,9,0)</f>
        <v>0</v>
      </c>
      <c r="AE31" s="45">
        <v>0</v>
      </c>
      <c r="AF31" s="900"/>
      <c r="AG31" s="46">
        <v>0</v>
      </c>
      <c r="AH31" s="900"/>
      <c r="AI31" s="45">
        <v>0</v>
      </c>
      <c r="AJ31" s="903">
        <f>+R31+T31+V31+X31+Z31+AB31+AD31+AF31+AH31</f>
        <v>509266177</v>
      </c>
      <c r="AK31" s="99">
        <f t="shared" ref="AK31:AK36" si="13">AC31+AE31+AG31+S31+U31+W31+Y31+AA31+AI31</f>
        <v>0</v>
      </c>
      <c r="AL31" s="47">
        <v>0</v>
      </c>
      <c r="AM31" s="48">
        <v>0</v>
      </c>
      <c r="AN31" s="48">
        <v>0</v>
      </c>
      <c r="AO31" s="48">
        <v>0</v>
      </c>
      <c r="AP31" s="48">
        <v>0</v>
      </c>
      <c r="AQ31" s="48">
        <v>0</v>
      </c>
      <c r="AR31" s="49">
        <f t="shared" ref="AR31:AR32" si="14">SUM(AL31:AQ31)</f>
        <v>0</v>
      </c>
      <c r="AS31" s="50">
        <v>0</v>
      </c>
      <c r="AT31" s="48">
        <v>0</v>
      </c>
      <c r="AU31" s="49">
        <f t="shared" ref="AU31:AU32" si="15">SUM(AS31:AT31)</f>
        <v>0</v>
      </c>
      <c r="AV31" s="50">
        <v>0</v>
      </c>
      <c r="AW31" s="48">
        <v>0</v>
      </c>
      <c r="AX31" s="48">
        <v>0</v>
      </c>
      <c r="AY31" s="48">
        <v>0</v>
      </c>
      <c r="AZ31" s="51">
        <v>0</v>
      </c>
      <c r="BA31" s="52"/>
      <c r="BB31" s="52"/>
      <c r="BC31" s="53" t="s">
        <v>1964</v>
      </c>
    </row>
    <row r="32" spans="1:55" ht="36" x14ac:dyDescent="0.2">
      <c r="A32" s="871"/>
      <c r="B32" s="873"/>
      <c r="C32" s="876"/>
      <c r="D32" s="879"/>
      <c r="E32" s="883"/>
      <c r="F32" s="885"/>
      <c r="G32" s="888"/>
      <c r="H32" s="891"/>
      <c r="I32" s="896"/>
      <c r="J32" s="897"/>
      <c r="K32" s="906"/>
      <c r="L32" s="910"/>
      <c r="M32" s="799" t="s">
        <v>1936</v>
      </c>
      <c r="N32" s="798" t="s">
        <v>1928</v>
      </c>
      <c r="O32" s="800">
        <v>12</v>
      </c>
      <c r="P32" s="43">
        <v>0.1</v>
      </c>
      <c r="Q32" s="43">
        <v>1</v>
      </c>
      <c r="R32" s="913"/>
      <c r="S32" s="44">
        <v>0</v>
      </c>
      <c r="T32" s="916"/>
      <c r="U32" s="45">
        <v>0</v>
      </c>
      <c r="V32" s="916"/>
      <c r="W32" s="45">
        <v>0</v>
      </c>
      <c r="X32" s="916"/>
      <c r="Y32" s="45">
        <v>0</v>
      </c>
      <c r="Z32" s="916"/>
      <c r="AA32" s="45">
        <v>0</v>
      </c>
      <c r="AB32" s="916"/>
      <c r="AC32" s="45">
        <v>471536724</v>
      </c>
      <c r="AD32" s="916"/>
      <c r="AE32" s="45">
        <v>0</v>
      </c>
      <c r="AF32" s="901"/>
      <c r="AG32" s="46">
        <v>0</v>
      </c>
      <c r="AH32" s="901"/>
      <c r="AI32" s="45">
        <v>0</v>
      </c>
      <c r="AJ32" s="904"/>
      <c r="AK32" s="99">
        <f t="shared" si="13"/>
        <v>471536724</v>
      </c>
      <c r="AL32" s="47">
        <v>2504</v>
      </c>
      <c r="AM32" s="48">
        <v>3905</v>
      </c>
      <c r="AN32" s="48">
        <v>4211</v>
      </c>
      <c r="AO32" s="48">
        <v>8222</v>
      </c>
      <c r="AP32" s="48">
        <v>15646</v>
      </c>
      <c r="AQ32" s="48">
        <v>2553</v>
      </c>
      <c r="AR32" s="49">
        <f t="shared" si="14"/>
        <v>37041</v>
      </c>
      <c r="AS32" s="50">
        <v>17873</v>
      </c>
      <c r="AT32" s="48">
        <v>19168</v>
      </c>
      <c r="AU32" s="49">
        <f t="shared" si="15"/>
        <v>37041</v>
      </c>
      <c r="AV32" s="50"/>
      <c r="AW32" s="48"/>
      <c r="AX32" s="48">
        <v>851</v>
      </c>
      <c r="AY32" s="48"/>
      <c r="AZ32" s="51"/>
      <c r="BA32" s="52"/>
      <c r="BB32" s="52"/>
      <c r="BC32" s="53" t="s">
        <v>1964</v>
      </c>
    </row>
    <row r="33" spans="1:55" ht="17.25" customHeight="1" x14ac:dyDescent="0.2">
      <c r="A33" s="871"/>
      <c r="B33" s="873"/>
      <c r="C33" s="876"/>
      <c r="D33" s="879"/>
      <c r="E33" s="883"/>
      <c r="F33" s="885"/>
      <c r="G33" s="888"/>
      <c r="H33" s="891"/>
      <c r="I33" s="896"/>
      <c r="J33" s="897"/>
      <c r="K33" s="906"/>
      <c r="L33" s="910"/>
      <c r="M33" s="799" t="s">
        <v>1937</v>
      </c>
      <c r="N33" s="798" t="s">
        <v>1928</v>
      </c>
      <c r="O33" s="800">
        <v>12</v>
      </c>
      <c r="P33" s="43">
        <v>0.1</v>
      </c>
      <c r="Q33" s="43">
        <v>1</v>
      </c>
      <c r="R33" s="913"/>
      <c r="S33" s="44">
        <v>0</v>
      </c>
      <c r="T33" s="916"/>
      <c r="U33" s="45">
        <v>0</v>
      </c>
      <c r="V33" s="916"/>
      <c r="W33" s="45">
        <v>0</v>
      </c>
      <c r="X33" s="916"/>
      <c r="Y33" s="45">
        <v>0</v>
      </c>
      <c r="Z33" s="916"/>
      <c r="AA33" s="45">
        <v>0</v>
      </c>
      <c r="AB33" s="916"/>
      <c r="AC33" s="45">
        <v>37723421</v>
      </c>
      <c r="AD33" s="916"/>
      <c r="AE33" s="45">
        <v>0</v>
      </c>
      <c r="AF33" s="901"/>
      <c r="AG33" s="46">
        <v>0</v>
      </c>
      <c r="AH33" s="901"/>
      <c r="AI33" s="45">
        <v>0</v>
      </c>
      <c r="AJ33" s="904"/>
      <c r="AK33" s="99">
        <f t="shared" si="13"/>
        <v>37723421</v>
      </c>
      <c r="AL33" s="47">
        <v>2504</v>
      </c>
      <c r="AM33" s="48">
        <v>3905</v>
      </c>
      <c r="AN33" s="48">
        <v>4211</v>
      </c>
      <c r="AO33" s="48">
        <v>8222</v>
      </c>
      <c r="AP33" s="48">
        <v>15646</v>
      </c>
      <c r="AQ33" s="48">
        <v>2553</v>
      </c>
      <c r="AR33" s="49">
        <f t="shared" ref="AR33:AR36" si="16">SUM(AL33:AQ33)</f>
        <v>37041</v>
      </c>
      <c r="AS33" s="50">
        <v>17873</v>
      </c>
      <c r="AT33" s="48">
        <v>19168</v>
      </c>
      <c r="AU33" s="49">
        <f t="shared" ref="AU33:AU35" si="17">SUM(AS33:AT33)</f>
        <v>37041</v>
      </c>
      <c r="AV33" s="50"/>
      <c r="AW33" s="48"/>
      <c r="AX33" s="48">
        <v>851</v>
      </c>
      <c r="AY33" s="48"/>
      <c r="AZ33" s="51"/>
      <c r="BA33" s="52"/>
      <c r="BB33" s="52"/>
      <c r="BC33" s="53" t="s">
        <v>1964</v>
      </c>
    </row>
    <row r="34" spans="1:55" ht="17.25" customHeight="1" x14ac:dyDescent="0.2">
      <c r="A34" s="871"/>
      <c r="B34" s="873"/>
      <c r="C34" s="876"/>
      <c r="D34" s="879"/>
      <c r="E34" s="883"/>
      <c r="F34" s="885"/>
      <c r="G34" s="888"/>
      <c r="H34" s="891"/>
      <c r="I34" s="896"/>
      <c r="J34" s="897"/>
      <c r="K34" s="906"/>
      <c r="L34" s="910"/>
      <c r="M34" s="167"/>
      <c r="N34" s="168"/>
      <c r="O34" s="169"/>
      <c r="P34" s="43"/>
      <c r="Q34" s="43"/>
      <c r="R34" s="913"/>
      <c r="S34" s="44"/>
      <c r="T34" s="916"/>
      <c r="U34" s="45"/>
      <c r="V34" s="916"/>
      <c r="W34" s="45"/>
      <c r="X34" s="916"/>
      <c r="Y34" s="45"/>
      <c r="Z34" s="916"/>
      <c r="AA34" s="45"/>
      <c r="AB34" s="916"/>
      <c r="AC34" s="45"/>
      <c r="AD34" s="916"/>
      <c r="AE34" s="45"/>
      <c r="AF34" s="901"/>
      <c r="AG34" s="46"/>
      <c r="AH34" s="901"/>
      <c r="AI34" s="45"/>
      <c r="AJ34" s="904"/>
      <c r="AK34" s="99">
        <f t="shared" si="13"/>
        <v>0</v>
      </c>
      <c r="AL34" s="47"/>
      <c r="AM34" s="48"/>
      <c r="AN34" s="48"/>
      <c r="AO34" s="48"/>
      <c r="AP34" s="48"/>
      <c r="AQ34" s="48"/>
      <c r="AR34" s="49">
        <f t="shared" si="16"/>
        <v>0</v>
      </c>
      <c r="AS34" s="50"/>
      <c r="AT34" s="48"/>
      <c r="AU34" s="49">
        <f t="shared" si="17"/>
        <v>0</v>
      </c>
      <c r="AV34" s="50"/>
      <c r="AW34" s="48"/>
      <c r="AX34" s="48"/>
      <c r="AY34" s="48"/>
      <c r="AZ34" s="51"/>
      <c r="BA34" s="52"/>
      <c r="BB34" s="52"/>
      <c r="BC34" s="53"/>
    </row>
    <row r="35" spans="1:55" ht="17.25" customHeight="1" x14ac:dyDescent="0.2">
      <c r="A35" s="871"/>
      <c r="B35" s="873"/>
      <c r="C35" s="876"/>
      <c r="D35" s="879"/>
      <c r="E35" s="883"/>
      <c r="F35" s="885"/>
      <c r="G35" s="888"/>
      <c r="H35" s="891"/>
      <c r="I35" s="896"/>
      <c r="J35" s="897"/>
      <c r="K35" s="906"/>
      <c r="L35" s="910"/>
      <c r="M35" s="167"/>
      <c r="N35" s="168"/>
      <c r="O35" s="169"/>
      <c r="P35" s="43"/>
      <c r="Q35" s="43"/>
      <c r="R35" s="913"/>
      <c r="S35" s="44"/>
      <c r="T35" s="916"/>
      <c r="U35" s="45"/>
      <c r="V35" s="916"/>
      <c r="W35" s="45"/>
      <c r="X35" s="916"/>
      <c r="Y35" s="45"/>
      <c r="Z35" s="916"/>
      <c r="AA35" s="45"/>
      <c r="AB35" s="916"/>
      <c r="AC35" s="45"/>
      <c r="AD35" s="916"/>
      <c r="AE35" s="45"/>
      <c r="AF35" s="901"/>
      <c r="AG35" s="46"/>
      <c r="AH35" s="901"/>
      <c r="AI35" s="45"/>
      <c r="AJ35" s="904"/>
      <c r="AK35" s="99">
        <f t="shared" si="13"/>
        <v>0</v>
      </c>
      <c r="AL35" s="47"/>
      <c r="AM35" s="48"/>
      <c r="AN35" s="48"/>
      <c r="AO35" s="48"/>
      <c r="AP35" s="48"/>
      <c r="AQ35" s="48"/>
      <c r="AR35" s="49">
        <f t="shared" si="16"/>
        <v>0</v>
      </c>
      <c r="AS35" s="50"/>
      <c r="AT35" s="48"/>
      <c r="AU35" s="49">
        <f t="shared" si="17"/>
        <v>0</v>
      </c>
      <c r="AV35" s="50"/>
      <c r="AW35" s="48"/>
      <c r="AX35" s="48"/>
      <c r="AY35" s="48"/>
      <c r="AZ35" s="51"/>
      <c r="BA35" s="52"/>
      <c r="BB35" s="52"/>
      <c r="BC35" s="53"/>
    </row>
    <row r="36" spans="1:55" ht="17.25" customHeight="1" x14ac:dyDescent="0.2">
      <c r="A36" s="871"/>
      <c r="B36" s="874"/>
      <c r="C36" s="877"/>
      <c r="D36" s="880"/>
      <c r="E36" s="883"/>
      <c r="F36" s="886"/>
      <c r="G36" s="889"/>
      <c r="H36" s="892"/>
      <c r="I36" s="896"/>
      <c r="J36" s="897"/>
      <c r="K36" s="907"/>
      <c r="L36" s="910"/>
      <c r="M36" s="170"/>
      <c r="N36" s="171"/>
      <c r="O36" s="172"/>
      <c r="P36" s="100"/>
      <c r="Q36" s="100"/>
      <c r="R36" s="913"/>
      <c r="S36" s="101"/>
      <c r="T36" s="916"/>
      <c r="U36" s="102"/>
      <c r="V36" s="916"/>
      <c r="W36" s="102"/>
      <c r="X36" s="916"/>
      <c r="Y36" s="102"/>
      <c r="Z36" s="916"/>
      <c r="AA36" s="102"/>
      <c r="AB36" s="916"/>
      <c r="AC36" s="102"/>
      <c r="AD36" s="916"/>
      <c r="AE36" s="102"/>
      <c r="AF36" s="901"/>
      <c r="AG36" s="103"/>
      <c r="AH36" s="901"/>
      <c r="AI36" s="102"/>
      <c r="AJ36" s="905"/>
      <c r="AK36" s="99">
        <f t="shared" si="13"/>
        <v>0</v>
      </c>
      <c r="AL36" s="104"/>
      <c r="AM36" s="105"/>
      <c r="AN36" s="105"/>
      <c r="AO36" s="105"/>
      <c r="AP36" s="105"/>
      <c r="AQ36" s="105"/>
      <c r="AR36" s="49">
        <f t="shared" si="16"/>
        <v>0</v>
      </c>
      <c r="AS36" s="106"/>
      <c r="AT36" s="105"/>
      <c r="AU36" s="49">
        <f>SUM(AS36:AT36)</f>
        <v>0</v>
      </c>
      <c r="AV36" s="106"/>
      <c r="AW36" s="105"/>
      <c r="AX36" s="105"/>
      <c r="AY36" s="105"/>
      <c r="AZ36" s="107"/>
      <c r="BA36" s="108"/>
      <c r="BB36" s="108"/>
      <c r="BC36" s="109"/>
    </row>
    <row r="37" spans="1:55" ht="9.9499999999999993" customHeight="1" thickBot="1" x14ac:dyDescent="0.25">
      <c r="A37" s="872"/>
      <c r="B37" s="875"/>
      <c r="C37" s="878"/>
      <c r="D37" s="881"/>
      <c r="E37" s="884"/>
      <c r="F37" s="887"/>
      <c r="G37" s="890"/>
      <c r="H37" s="893"/>
      <c r="I37" s="898"/>
      <c r="J37" s="899"/>
      <c r="K37" s="908"/>
      <c r="L37" s="911"/>
      <c r="M37" s="173"/>
      <c r="N37" s="174"/>
      <c r="O37" s="175"/>
      <c r="P37" s="110"/>
      <c r="Q37" s="110"/>
      <c r="R37" s="914"/>
      <c r="S37" s="176"/>
      <c r="T37" s="917"/>
      <c r="U37" s="177"/>
      <c r="V37" s="917"/>
      <c r="W37" s="177"/>
      <c r="X37" s="917"/>
      <c r="Y37" s="177"/>
      <c r="Z37" s="917"/>
      <c r="AA37" s="177"/>
      <c r="AB37" s="917"/>
      <c r="AC37" s="177"/>
      <c r="AD37" s="917"/>
      <c r="AE37" s="177"/>
      <c r="AF37" s="902"/>
      <c r="AG37" s="178"/>
      <c r="AH37" s="902"/>
      <c r="AI37" s="177"/>
      <c r="AJ37" s="111"/>
      <c r="AK37" s="112"/>
      <c r="AL37" s="179"/>
      <c r="AM37" s="180"/>
      <c r="AN37" s="180"/>
      <c r="AO37" s="180"/>
      <c r="AP37" s="180"/>
      <c r="AQ37" s="180"/>
      <c r="AR37" s="113"/>
      <c r="AS37" s="181"/>
      <c r="AT37" s="180"/>
      <c r="AU37" s="113"/>
      <c r="AV37" s="181"/>
      <c r="AW37" s="180"/>
      <c r="AX37" s="180"/>
      <c r="AY37" s="180"/>
      <c r="AZ37" s="182"/>
      <c r="BA37" s="183"/>
      <c r="BB37" s="183"/>
      <c r="BC37" s="184"/>
    </row>
    <row r="38" spans="1:55" ht="6" customHeight="1" x14ac:dyDescent="0.2">
      <c r="A38" s="149"/>
      <c r="B38" s="185"/>
      <c r="C38" s="185"/>
      <c r="D38" s="185"/>
      <c r="E38" s="185"/>
      <c r="F38" s="185"/>
      <c r="G38" s="185"/>
      <c r="H38" s="185"/>
      <c r="I38" s="918"/>
      <c r="J38" s="918"/>
      <c r="K38" s="185"/>
      <c r="L38" s="185"/>
      <c r="M38" s="185"/>
      <c r="N38" s="185"/>
      <c r="O38" s="185"/>
      <c r="P38" s="185"/>
      <c r="Q38" s="185"/>
      <c r="R38" s="185"/>
      <c r="S38" s="185"/>
      <c r="T38" s="185"/>
      <c r="U38" s="185"/>
      <c r="V38" s="185"/>
      <c r="W38" s="185"/>
      <c r="X38" s="185"/>
      <c r="Y38" s="185"/>
      <c r="Z38" s="185"/>
      <c r="AA38" s="185"/>
      <c r="AB38" s="185"/>
      <c r="AC38" s="185"/>
      <c r="AD38" s="185"/>
      <c r="AE38" s="185"/>
      <c r="AF38" s="185"/>
      <c r="AG38" s="185"/>
      <c r="AH38" s="185"/>
      <c r="AI38" s="185"/>
      <c r="AJ38" s="185"/>
      <c r="AK38" s="186"/>
      <c r="AL38" s="186"/>
      <c r="AM38" s="186"/>
      <c r="AN38" s="186"/>
      <c r="AO38" s="186"/>
      <c r="AP38" s="186"/>
      <c r="AQ38" s="187"/>
      <c r="AR38" s="186"/>
      <c r="AS38" s="186"/>
      <c r="AT38" s="186"/>
      <c r="AU38" s="186"/>
      <c r="AV38" s="186"/>
      <c r="AW38" s="186"/>
      <c r="AX38" s="186"/>
      <c r="AY38" s="186"/>
      <c r="AZ38" s="186"/>
      <c r="BA38" s="186"/>
      <c r="BB38" s="186"/>
      <c r="BC38" s="149"/>
    </row>
    <row r="39" spans="1:55" ht="72" customHeight="1" x14ac:dyDescent="0.2">
      <c r="A39" s="870">
        <v>4</v>
      </c>
      <c r="B39" s="154" t="s">
        <v>1704</v>
      </c>
      <c r="C39" s="155" t="s">
        <v>1705</v>
      </c>
      <c r="D39" s="156" t="s">
        <v>21</v>
      </c>
      <c r="E39" s="156" t="s">
        <v>1890</v>
      </c>
      <c r="F39" s="155" t="s">
        <v>1706</v>
      </c>
      <c r="G39" s="157" t="s">
        <v>1679</v>
      </c>
      <c r="H39" s="157" t="s">
        <v>1680</v>
      </c>
      <c r="I39" s="158" t="s">
        <v>1906</v>
      </c>
      <c r="J39" s="159">
        <f>+$N$3</f>
        <v>2019</v>
      </c>
      <c r="K39" s="157" t="s">
        <v>1923</v>
      </c>
      <c r="L39" s="158" t="s">
        <v>1951</v>
      </c>
      <c r="M39" s="155" t="s">
        <v>1707</v>
      </c>
      <c r="N39" s="155" t="s">
        <v>1708</v>
      </c>
      <c r="O39" s="155" t="s">
        <v>1709</v>
      </c>
      <c r="P39" s="155" t="s">
        <v>1961</v>
      </c>
      <c r="Q39" s="155" t="s">
        <v>1952</v>
      </c>
      <c r="R39" s="160">
        <f>SUM(R40:R46)</f>
        <v>0</v>
      </c>
      <c r="S39" s="161">
        <f t="shared" ref="S39:AK39" si="18">SUM(S40:S46)</f>
        <v>0</v>
      </c>
      <c r="T39" s="162">
        <f t="shared" si="18"/>
        <v>0</v>
      </c>
      <c r="U39" s="163">
        <f t="shared" si="18"/>
        <v>0</v>
      </c>
      <c r="V39" s="162">
        <f t="shared" si="18"/>
        <v>7000000000</v>
      </c>
      <c r="W39" s="163">
        <f t="shared" si="18"/>
        <v>0</v>
      </c>
      <c r="X39" s="162">
        <f t="shared" si="18"/>
        <v>0</v>
      </c>
      <c r="Y39" s="163">
        <f t="shared" si="18"/>
        <v>0</v>
      </c>
      <c r="Z39" s="162">
        <f t="shared" si="18"/>
        <v>5402060000</v>
      </c>
      <c r="AA39" s="163">
        <f t="shared" si="18"/>
        <v>835400000</v>
      </c>
      <c r="AB39" s="162">
        <f t="shared" si="18"/>
        <v>0</v>
      </c>
      <c r="AC39" s="163">
        <f t="shared" si="18"/>
        <v>0</v>
      </c>
      <c r="AD39" s="162">
        <f t="shared" si="18"/>
        <v>0</v>
      </c>
      <c r="AE39" s="163">
        <f t="shared" si="18"/>
        <v>0</v>
      </c>
      <c r="AF39" s="162">
        <f t="shared" si="18"/>
        <v>0</v>
      </c>
      <c r="AG39" s="164">
        <f t="shared" si="18"/>
        <v>0</v>
      </c>
      <c r="AH39" s="162">
        <f t="shared" si="18"/>
        <v>0</v>
      </c>
      <c r="AI39" s="163">
        <f t="shared" si="18"/>
        <v>0</v>
      </c>
      <c r="AJ39" s="165">
        <f t="shared" si="18"/>
        <v>12402060000</v>
      </c>
      <c r="AK39" s="166">
        <f t="shared" si="18"/>
        <v>835400000</v>
      </c>
      <c r="AL39" s="849"/>
      <c r="AM39" s="850"/>
      <c r="AN39" s="850"/>
      <c r="AO39" s="850"/>
      <c r="AP39" s="850"/>
      <c r="AQ39" s="850"/>
      <c r="AR39" s="851"/>
      <c r="AS39" s="852"/>
      <c r="AT39" s="850"/>
      <c r="AU39" s="851"/>
      <c r="AV39" s="852"/>
      <c r="AW39" s="850"/>
      <c r="AX39" s="850"/>
      <c r="AY39" s="850"/>
      <c r="AZ39" s="853"/>
      <c r="BA39" s="41" t="s">
        <v>1685</v>
      </c>
      <c r="BB39" s="41" t="s">
        <v>1954</v>
      </c>
      <c r="BC39" s="42" t="s">
        <v>1686</v>
      </c>
    </row>
    <row r="40" spans="1:55" ht="17.25" customHeight="1" x14ac:dyDescent="0.2">
      <c r="A40" s="871"/>
      <c r="B40" s="873" t="str">
        <f>VLOOKUP($D$9,'PROYECTOS REGISTRADOS'!$A$2:$D$82,4,0)</f>
        <v>Construcción y mantenimiento de infraestructura municipal Tocancipá, Cundinamarca, Centro Oriente</v>
      </c>
      <c r="C40" s="876" t="str">
        <f>VLOOKUP($D$9,'PROYECTOS REGISTRADOS'!$A$2:$D$82,3,0)</f>
        <v>2016-25817-0036</v>
      </c>
      <c r="D40" s="879" t="s">
        <v>1011</v>
      </c>
      <c r="E40" s="882" t="str">
        <f>IF(D40=0,"0-0",(VLOOKUP(D40,'CONSOLIDADO PLAN DESARROLLO'!$EL$9:$ET$304,2,0)))</f>
        <v>Realizar la construcción y ampliación de infraestructura deportiva</v>
      </c>
      <c r="F40" s="885" t="str">
        <f>IF(D40=0,"0-0",(VLOOKUP(D40,'CONSOLIDADO PLAN DESARROLLO'!$EL$9:$ET$304,3,0)))</f>
        <v>infraestructuras construidas o ampliadas</v>
      </c>
      <c r="G40" s="888">
        <f>IF(D40=0,"0-0",(VLOOKUP(D40,'CONSOLIDADO PLAN DESARROLLO'!$EL$9:$ET$304,4,0)))</f>
        <v>26</v>
      </c>
      <c r="H40" s="891">
        <f>IF(D40=0,"0-0",(VLOOKUP(D40,'CONSOLIDADO PLAN DESARROLLO'!$EL$9:$ET$304,5,0)))</f>
        <v>28</v>
      </c>
      <c r="I40" s="894">
        <f>IF(D40=0,"0-0",(VLOOKUP(D40,'CONSOLIDADO PLAN DESARROLLO'!$EL$9:$ET$304,$R$3,0)))</f>
        <v>1</v>
      </c>
      <c r="J40" s="895"/>
      <c r="K40" s="906">
        <v>0</v>
      </c>
      <c r="L40" s="909">
        <v>1</v>
      </c>
      <c r="M40" s="797" t="s">
        <v>1938</v>
      </c>
      <c r="N40" s="798" t="s">
        <v>1928</v>
      </c>
      <c r="O40" s="800">
        <v>2</v>
      </c>
      <c r="P40" s="43">
        <v>0</v>
      </c>
      <c r="Q40" s="43">
        <v>0</v>
      </c>
      <c r="R40" s="912">
        <f>VLOOKUP($D40,'[4]Tablero Logro Metas 2019'!$AK$7:$AS$302,3,0)</f>
        <v>0</v>
      </c>
      <c r="S40" s="44">
        <v>0</v>
      </c>
      <c r="T40" s="915">
        <f>VLOOKUP($D40,'[4]Tablero Logro Metas 2019'!$AK$7:$AS$302,4,0)</f>
        <v>0</v>
      </c>
      <c r="U40" s="44">
        <v>0</v>
      </c>
      <c r="V40" s="915">
        <f>VLOOKUP($D40,'[4]Tablero Logro Metas 2019'!$AK$7:$AS$302,5,0)</f>
        <v>7000000000</v>
      </c>
      <c r="W40" s="44">
        <v>0</v>
      </c>
      <c r="X40" s="915">
        <f>VLOOKUP($D40,'[4]Tablero Logro Metas 2019'!$AK$7:$AS$302,6,0)</f>
        <v>0</v>
      </c>
      <c r="Y40" s="44">
        <v>0</v>
      </c>
      <c r="Z40" s="915">
        <f>VLOOKUP($D40,'[4]Tablero Logro Metas 2019'!$AK$7:$AS$302,7,0)</f>
        <v>5402060000</v>
      </c>
      <c r="AA40" s="45">
        <v>0</v>
      </c>
      <c r="AB40" s="915">
        <f>VLOOKUP($D40,'[4]Tablero Logro Metas 2019'!$AK$7:$AS$302,8,0)</f>
        <v>0</v>
      </c>
      <c r="AC40" s="44">
        <v>0</v>
      </c>
      <c r="AD40" s="915">
        <f>VLOOKUP($D40,'[4]Tablero Logro Metas 2019'!$AK$7:$AS$302,9,0)</f>
        <v>0</v>
      </c>
      <c r="AE40" s="44">
        <v>0</v>
      </c>
      <c r="AF40" s="900"/>
      <c r="AG40" s="44">
        <v>0</v>
      </c>
      <c r="AH40" s="900"/>
      <c r="AI40" s="45">
        <v>0</v>
      </c>
      <c r="AJ40" s="903">
        <f>+R40+T40+V40+X40+Z40+AB40+AD40+AF40+AH40</f>
        <v>12402060000</v>
      </c>
      <c r="AK40" s="99">
        <f t="shared" ref="AK40:AK45" si="19">AC40+AE40+AG40+S40+U40+W40+Y40+AA40+AI40</f>
        <v>0</v>
      </c>
      <c r="AL40" s="47">
        <v>0</v>
      </c>
      <c r="AM40" s="48">
        <v>0</v>
      </c>
      <c r="AN40" s="48">
        <v>0</v>
      </c>
      <c r="AO40" s="48">
        <v>0</v>
      </c>
      <c r="AP40" s="48">
        <v>0</v>
      </c>
      <c r="AQ40" s="48">
        <v>0</v>
      </c>
      <c r="AR40" s="49">
        <f t="shared" ref="AR40" si="20">SUM(AL40:AQ40)</f>
        <v>0</v>
      </c>
      <c r="AS40" s="50">
        <v>0</v>
      </c>
      <c r="AT40" s="48">
        <v>0</v>
      </c>
      <c r="AU40" s="49">
        <f t="shared" ref="AU40" si="21">SUM(AS40:AT40)</f>
        <v>0</v>
      </c>
      <c r="AV40" s="50">
        <v>0</v>
      </c>
      <c r="AW40" s="48">
        <v>0</v>
      </c>
      <c r="AX40" s="48">
        <v>0</v>
      </c>
      <c r="AY40" s="48">
        <v>0</v>
      </c>
      <c r="AZ40" s="51">
        <v>0</v>
      </c>
      <c r="BA40" s="52"/>
      <c r="BB40" s="52"/>
      <c r="BC40" s="53" t="s">
        <v>1964</v>
      </c>
    </row>
    <row r="41" spans="1:55" ht="17.25" customHeight="1" x14ac:dyDescent="0.2">
      <c r="A41" s="871"/>
      <c r="B41" s="873"/>
      <c r="C41" s="876"/>
      <c r="D41" s="879"/>
      <c r="E41" s="883"/>
      <c r="F41" s="885"/>
      <c r="G41" s="888"/>
      <c r="H41" s="891"/>
      <c r="I41" s="896"/>
      <c r="J41" s="897"/>
      <c r="K41" s="906"/>
      <c r="L41" s="910"/>
      <c r="M41" s="797" t="s">
        <v>1932</v>
      </c>
      <c r="N41" s="798" t="s">
        <v>1928</v>
      </c>
      <c r="O41" s="800">
        <v>1</v>
      </c>
      <c r="P41" s="43">
        <v>0</v>
      </c>
      <c r="Q41" s="43">
        <v>0</v>
      </c>
      <c r="R41" s="913"/>
      <c r="S41" s="44">
        <v>0</v>
      </c>
      <c r="T41" s="916"/>
      <c r="U41" s="44">
        <v>0</v>
      </c>
      <c r="V41" s="916"/>
      <c r="W41" s="44">
        <v>0</v>
      </c>
      <c r="X41" s="916"/>
      <c r="Y41" s="44">
        <v>0</v>
      </c>
      <c r="Z41" s="916"/>
      <c r="AA41" s="45">
        <v>0</v>
      </c>
      <c r="AB41" s="916"/>
      <c r="AC41" s="44">
        <v>0</v>
      </c>
      <c r="AD41" s="916"/>
      <c r="AE41" s="44">
        <v>0</v>
      </c>
      <c r="AF41" s="901"/>
      <c r="AG41" s="44">
        <v>0</v>
      </c>
      <c r="AH41" s="901"/>
      <c r="AI41" s="45">
        <v>0</v>
      </c>
      <c r="AJ41" s="904"/>
      <c r="AK41" s="99">
        <f t="shared" si="19"/>
        <v>0</v>
      </c>
      <c r="AL41" s="47">
        <v>0</v>
      </c>
      <c r="AM41" s="48">
        <v>0</v>
      </c>
      <c r="AN41" s="48">
        <v>0</v>
      </c>
      <c r="AO41" s="48">
        <v>0</v>
      </c>
      <c r="AP41" s="48">
        <v>0</v>
      </c>
      <c r="AQ41" s="48">
        <v>0</v>
      </c>
      <c r="AR41" s="49">
        <f t="shared" ref="AR41:AR45" si="22">SUM(AL41:AQ41)</f>
        <v>0</v>
      </c>
      <c r="AS41" s="50">
        <v>0</v>
      </c>
      <c r="AT41" s="48">
        <v>0</v>
      </c>
      <c r="AU41" s="49">
        <f t="shared" ref="AU41:AU44" si="23">SUM(AS41:AT41)</f>
        <v>0</v>
      </c>
      <c r="AV41" s="50">
        <v>0</v>
      </c>
      <c r="AW41" s="48">
        <v>0</v>
      </c>
      <c r="AX41" s="48">
        <v>0</v>
      </c>
      <c r="AY41" s="48">
        <v>0</v>
      </c>
      <c r="AZ41" s="51">
        <v>0</v>
      </c>
      <c r="BA41" s="52"/>
      <c r="BB41" s="52"/>
      <c r="BC41" s="53" t="s">
        <v>1964</v>
      </c>
    </row>
    <row r="42" spans="1:55" ht="17.25" customHeight="1" x14ac:dyDescent="0.2">
      <c r="A42" s="871"/>
      <c r="B42" s="873"/>
      <c r="C42" s="876"/>
      <c r="D42" s="879"/>
      <c r="E42" s="883"/>
      <c r="F42" s="885"/>
      <c r="G42" s="888"/>
      <c r="H42" s="891"/>
      <c r="I42" s="896"/>
      <c r="J42" s="897"/>
      <c r="K42" s="906"/>
      <c r="L42" s="910"/>
      <c r="M42" s="797" t="s">
        <v>1939</v>
      </c>
      <c r="N42" s="798" t="s">
        <v>1928</v>
      </c>
      <c r="O42" s="800">
        <v>28</v>
      </c>
      <c r="P42" s="43">
        <v>1</v>
      </c>
      <c r="Q42" s="43">
        <v>1</v>
      </c>
      <c r="R42" s="913"/>
      <c r="S42" s="44">
        <v>0</v>
      </c>
      <c r="T42" s="916"/>
      <c r="U42" s="44">
        <v>0</v>
      </c>
      <c r="V42" s="916"/>
      <c r="W42" s="44">
        <v>0</v>
      </c>
      <c r="X42" s="916"/>
      <c r="Y42" s="44">
        <v>0</v>
      </c>
      <c r="Z42" s="916"/>
      <c r="AA42" s="45">
        <v>835400000</v>
      </c>
      <c r="AB42" s="916"/>
      <c r="AC42" s="44">
        <v>0</v>
      </c>
      <c r="AD42" s="916"/>
      <c r="AE42" s="44">
        <v>0</v>
      </c>
      <c r="AF42" s="901"/>
      <c r="AG42" s="44">
        <v>0</v>
      </c>
      <c r="AH42" s="901"/>
      <c r="AI42" s="45">
        <v>0</v>
      </c>
      <c r="AJ42" s="904"/>
      <c r="AK42" s="99">
        <f t="shared" si="19"/>
        <v>835400000</v>
      </c>
      <c r="AL42" s="47">
        <v>2504</v>
      </c>
      <c r="AM42" s="48">
        <v>3905</v>
      </c>
      <c r="AN42" s="48">
        <v>4211</v>
      </c>
      <c r="AO42" s="48">
        <v>8222</v>
      </c>
      <c r="AP42" s="48">
        <v>15646</v>
      </c>
      <c r="AQ42" s="48">
        <v>2553</v>
      </c>
      <c r="AR42" s="49">
        <f t="shared" si="22"/>
        <v>37041</v>
      </c>
      <c r="AS42" s="50">
        <v>17873</v>
      </c>
      <c r="AT42" s="48">
        <v>19168</v>
      </c>
      <c r="AU42" s="49">
        <f t="shared" si="23"/>
        <v>37041</v>
      </c>
      <c r="AV42" s="50"/>
      <c r="AW42" s="48"/>
      <c r="AX42" s="48">
        <v>851</v>
      </c>
      <c r="AY42" s="48"/>
      <c r="AZ42" s="51"/>
      <c r="BA42" s="52"/>
      <c r="BB42" s="52"/>
      <c r="BC42" s="53" t="s">
        <v>1964</v>
      </c>
    </row>
    <row r="43" spans="1:55" ht="17.25" customHeight="1" x14ac:dyDescent="0.2">
      <c r="A43" s="871"/>
      <c r="B43" s="873"/>
      <c r="C43" s="876"/>
      <c r="D43" s="879"/>
      <c r="E43" s="883"/>
      <c r="F43" s="885"/>
      <c r="G43" s="888"/>
      <c r="H43" s="891"/>
      <c r="I43" s="896"/>
      <c r="J43" s="897"/>
      <c r="K43" s="906"/>
      <c r="L43" s="910"/>
      <c r="M43" s="797" t="s">
        <v>1934</v>
      </c>
      <c r="N43" s="798" t="s">
        <v>1928</v>
      </c>
      <c r="O43" s="800">
        <v>28</v>
      </c>
      <c r="P43" s="43">
        <v>1</v>
      </c>
      <c r="Q43" s="43">
        <v>1</v>
      </c>
      <c r="R43" s="913"/>
      <c r="S43" s="44">
        <v>0</v>
      </c>
      <c r="T43" s="916"/>
      <c r="U43" s="44">
        <v>0</v>
      </c>
      <c r="V43" s="916"/>
      <c r="W43" s="44">
        <v>0</v>
      </c>
      <c r="X43" s="916"/>
      <c r="Y43" s="44">
        <v>0</v>
      </c>
      <c r="Z43" s="916"/>
      <c r="AA43" s="45">
        <v>0</v>
      </c>
      <c r="AB43" s="916"/>
      <c r="AC43" s="44">
        <v>0</v>
      </c>
      <c r="AD43" s="916"/>
      <c r="AE43" s="44">
        <v>0</v>
      </c>
      <c r="AF43" s="901"/>
      <c r="AG43" s="44">
        <v>0</v>
      </c>
      <c r="AH43" s="901"/>
      <c r="AI43" s="45">
        <v>0</v>
      </c>
      <c r="AJ43" s="904"/>
      <c r="AK43" s="99">
        <f t="shared" si="19"/>
        <v>0</v>
      </c>
      <c r="AL43" s="47"/>
      <c r="AM43" s="48"/>
      <c r="AN43" s="48"/>
      <c r="AO43" s="48"/>
      <c r="AP43" s="48"/>
      <c r="AQ43" s="48"/>
      <c r="AR43" s="49">
        <f t="shared" si="22"/>
        <v>0</v>
      </c>
      <c r="AS43" s="50"/>
      <c r="AT43" s="48"/>
      <c r="AU43" s="49">
        <f t="shared" si="23"/>
        <v>0</v>
      </c>
      <c r="AV43" s="50"/>
      <c r="AW43" s="48"/>
      <c r="AX43" s="48"/>
      <c r="AY43" s="48"/>
      <c r="AZ43" s="51"/>
      <c r="BA43" s="52"/>
      <c r="BB43" s="52"/>
      <c r="BC43" s="53" t="s">
        <v>1964</v>
      </c>
    </row>
    <row r="44" spans="1:55" ht="17.25" customHeight="1" x14ac:dyDescent="0.2">
      <c r="A44" s="871"/>
      <c r="B44" s="873"/>
      <c r="C44" s="876"/>
      <c r="D44" s="879"/>
      <c r="E44" s="883"/>
      <c r="F44" s="885"/>
      <c r="G44" s="888"/>
      <c r="H44" s="891"/>
      <c r="I44" s="896"/>
      <c r="J44" s="897"/>
      <c r="K44" s="906"/>
      <c r="L44" s="910"/>
      <c r="M44" s="167"/>
      <c r="N44" s="168"/>
      <c r="O44" s="169"/>
      <c r="P44" s="43"/>
      <c r="Q44" s="43"/>
      <c r="R44" s="913"/>
      <c r="S44" s="44"/>
      <c r="T44" s="916"/>
      <c r="U44" s="45"/>
      <c r="V44" s="916"/>
      <c r="W44" s="45"/>
      <c r="X44" s="916"/>
      <c r="Y44" s="45"/>
      <c r="Z44" s="916"/>
      <c r="AA44" s="45"/>
      <c r="AB44" s="916"/>
      <c r="AC44" s="45"/>
      <c r="AD44" s="916"/>
      <c r="AE44" s="45"/>
      <c r="AF44" s="901"/>
      <c r="AG44" s="46"/>
      <c r="AH44" s="901"/>
      <c r="AI44" s="45"/>
      <c r="AJ44" s="904"/>
      <c r="AK44" s="99">
        <f t="shared" si="19"/>
        <v>0</v>
      </c>
      <c r="AL44" s="47"/>
      <c r="AM44" s="48"/>
      <c r="AN44" s="48"/>
      <c r="AO44" s="48"/>
      <c r="AP44" s="48"/>
      <c r="AQ44" s="48"/>
      <c r="AR44" s="49">
        <f t="shared" si="22"/>
        <v>0</v>
      </c>
      <c r="AS44" s="50"/>
      <c r="AT44" s="48"/>
      <c r="AU44" s="49">
        <f t="shared" si="23"/>
        <v>0</v>
      </c>
      <c r="AV44" s="50"/>
      <c r="AW44" s="48"/>
      <c r="AX44" s="48"/>
      <c r="AY44" s="48"/>
      <c r="AZ44" s="51"/>
      <c r="BA44" s="52"/>
      <c r="BB44" s="52"/>
      <c r="BC44" s="53"/>
    </row>
    <row r="45" spans="1:55" ht="17.25" customHeight="1" x14ac:dyDescent="0.2">
      <c r="A45" s="871"/>
      <c r="B45" s="874"/>
      <c r="C45" s="877"/>
      <c r="D45" s="880"/>
      <c r="E45" s="883"/>
      <c r="F45" s="886"/>
      <c r="G45" s="889"/>
      <c r="H45" s="892"/>
      <c r="I45" s="896"/>
      <c r="J45" s="897"/>
      <c r="K45" s="907"/>
      <c r="L45" s="910"/>
      <c r="M45" s="170"/>
      <c r="N45" s="171"/>
      <c r="O45" s="172"/>
      <c r="P45" s="100"/>
      <c r="Q45" s="100"/>
      <c r="R45" s="913"/>
      <c r="S45" s="101"/>
      <c r="T45" s="916"/>
      <c r="U45" s="102"/>
      <c r="V45" s="916"/>
      <c r="W45" s="102"/>
      <c r="X45" s="916"/>
      <c r="Y45" s="102"/>
      <c r="Z45" s="916"/>
      <c r="AA45" s="102"/>
      <c r="AB45" s="916"/>
      <c r="AC45" s="102"/>
      <c r="AD45" s="916"/>
      <c r="AE45" s="102"/>
      <c r="AF45" s="901"/>
      <c r="AG45" s="103"/>
      <c r="AH45" s="901"/>
      <c r="AI45" s="102"/>
      <c r="AJ45" s="905"/>
      <c r="AK45" s="99">
        <f t="shared" si="19"/>
        <v>0</v>
      </c>
      <c r="AL45" s="104"/>
      <c r="AM45" s="105"/>
      <c r="AN45" s="105"/>
      <c r="AO45" s="105"/>
      <c r="AP45" s="105"/>
      <c r="AQ45" s="105"/>
      <c r="AR45" s="49">
        <f t="shared" si="22"/>
        <v>0</v>
      </c>
      <c r="AS45" s="106"/>
      <c r="AT45" s="105"/>
      <c r="AU45" s="49">
        <f>SUM(AS45:AT45)</f>
        <v>0</v>
      </c>
      <c r="AV45" s="106"/>
      <c r="AW45" s="105"/>
      <c r="AX45" s="105"/>
      <c r="AY45" s="105"/>
      <c r="AZ45" s="107"/>
      <c r="BA45" s="108"/>
      <c r="BB45" s="108"/>
      <c r="BC45" s="109"/>
    </row>
    <row r="46" spans="1:55" ht="9.9499999999999993" customHeight="1" thickBot="1" x14ac:dyDescent="0.25">
      <c r="A46" s="872"/>
      <c r="B46" s="875"/>
      <c r="C46" s="878"/>
      <c r="D46" s="881"/>
      <c r="E46" s="884"/>
      <c r="F46" s="887"/>
      <c r="G46" s="890"/>
      <c r="H46" s="893"/>
      <c r="I46" s="898"/>
      <c r="J46" s="899"/>
      <c r="K46" s="908"/>
      <c r="L46" s="911"/>
      <c r="M46" s="173"/>
      <c r="N46" s="174"/>
      <c r="O46" s="175"/>
      <c r="P46" s="110"/>
      <c r="Q46" s="110"/>
      <c r="R46" s="914"/>
      <c r="S46" s="176"/>
      <c r="T46" s="917"/>
      <c r="U46" s="177"/>
      <c r="V46" s="917"/>
      <c r="W46" s="177"/>
      <c r="X46" s="917"/>
      <c r="Y46" s="177"/>
      <c r="Z46" s="917"/>
      <c r="AA46" s="177"/>
      <c r="AB46" s="917"/>
      <c r="AC46" s="177"/>
      <c r="AD46" s="917"/>
      <c r="AE46" s="177"/>
      <c r="AF46" s="902"/>
      <c r="AG46" s="178"/>
      <c r="AH46" s="902"/>
      <c r="AI46" s="177"/>
      <c r="AJ46" s="111"/>
      <c r="AK46" s="112"/>
      <c r="AL46" s="179"/>
      <c r="AM46" s="180"/>
      <c r="AN46" s="180"/>
      <c r="AO46" s="180"/>
      <c r="AP46" s="180"/>
      <c r="AQ46" s="180"/>
      <c r="AR46" s="113"/>
      <c r="AS46" s="181"/>
      <c r="AT46" s="180"/>
      <c r="AU46" s="113"/>
      <c r="AV46" s="181"/>
      <c r="AW46" s="180"/>
      <c r="AX46" s="180"/>
      <c r="AY46" s="180"/>
      <c r="AZ46" s="182"/>
      <c r="BA46" s="183"/>
      <c r="BB46" s="183"/>
      <c r="BC46" s="184"/>
    </row>
    <row r="47" spans="1:55" ht="6" customHeight="1" x14ac:dyDescent="0.2">
      <c r="A47" s="149"/>
      <c r="B47" s="185"/>
      <c r="C47" s="185"/>
      <c r="D47" s="185"/>
      <c r="E47" s="185"/>
      <c r="F47" s="185"/>
      <c r="G47" s="185"/>
      <c r="H47" s="185"/>
      <c r="I47" s="918"/>
      <c r="J47" s="918"/>
      <c r="K47" s="185"/>
      <c r="L47" s="185"/>
      <c r="M47" s="185"/>
      <c r="N47" s="185"/>
      <c r="O47" s="185"/>
      <c r="P47" s="185"/>
      <c r="Q47" s="185"/>
      <c r="R47" s="185"/>
      <c r="S47" s="185"/>
      <c r="T47" s="185"/>
      <c r="U47" s="185"/>
      <c r="V47" s="185"/>
      <c r="W47" s="185"/>
      <c r="X47" s="185"/>
      <c r="Y47" s="185"/>
      <c r="Z47" s="185"/>
      <c r="AA47" s="185"/>
      <c r="AB47" s="185"/>
      <c r="AC47" s="185"/>
      <c r="AD47" s="185"/>
      <c r="AE47" s="185"/>
      <c r="AF47" s="185"/>
      <c r="AG47" s="185"/>
      <c r="AH47" s="185"/>
      <c r="AI47" s="185"/>
      <c r="AJ47" s="185"/>
      <c r="AK47" s="186"/>
      <c r="AL47" s="186"/>
      <c r="AM47" s="186"/>
      <c r="AN47" s="186"/>
      <c r="AO47" s="186"/>
      <c r="AP47" s="186"/>
      <c r="AQ47" s="187"/>
      <c r="AR47" s="186"/>
      <c r="AS47" s="186"/>
      <c r="AT47" s="186"/>
      <c r="AU47" s="186"/>
      <c r="AV47" s="186"/>
      <c r="AW47" s="186"/>
      <c r="AX47" s="186"/>
      <c r="AY47" s="186"/>
      <c r="AZ47" s="186"/>
      <c r="BA47" s="186"/>
      <c r="BB47" s="186"/>
      <c r="BC47" s="149"/>
    </row>
    <row r="48" spans="1:55" ht="72" customHeight="1" x14ac:dyDescent="0.2">
      <c r="A48" s="870">
        <v>5</v>
      </c>
      <c r="B48" s="154" t="s">
        <v>1704</v>
      </c>
      <c r="C48" s="155" t="s">
        <v>1705</v>
      </c>
      <c r="D48" s="156" t="s">
        <v>21</v>
      </c>
      <c r="E48" s="156" t="s">
        <v>1890</v>
      </c>
      <c r="F48" s="155" t="s">
        <v>1706</v>
      </c>
      <c r="G48" s="157" t="s">
        <v>1679</v>
      </c>
      <c r="H48" s="157" t="s">
        <v>1680</v>
      </c>
      <c r="I48" s="158" t="s">
        <v>1906</v>
      </c>
      <c r="J48" s="159">
        <f>+$N$3</f>
        <v>2019</v>
      </c>
      <c r="K48" s="157" t="s">
        <v>1923</v>
      </c>
      <c r="L48" s="158" t="s">
        <v>1951</v>
      </c>
      <c r="M48" s="155" t="s">
        <v>1707</v>
      </c>
      <c r="N48" s="155" t="s">
        <v>1708</v>
      </c>
      <c r="O48" s="155" t="s">
        <v>1709</v>
      </c>
      <c r="P48" s="155" t="s">
        <v>1961</v>
      </c>
      <c r="Q48" s="155" t="s">
        <v>1952</v>
      </c>
      <c r="R48" s="160">
        <f>SUM(R49:R55)</f>
        <v>0</v>
      </c>
      <c r="S48" s="161">
        <f t="shared" ref="S48:AK48" si="24">SUM(S49:S55)</f>
        <v>0</v>
      </c>
      <c r="T48" s="162">
        <f t="shared" si="24"/>
        <v>0</v>
      </c>
      <c r="U48" s="163">
        <f t="shared" si="24"/>
        <v>0</v>
      </c>
      <c r="V48" s="162">
        <f t="shared" si="24"/>
        <v>0</v>
      </c>
      <c r="W48" s="163">
        <f t="shared" si="24"/>
        <v>0</v>
      </c>
      <c r="X48" s="162">
        <f t="shared" si="24"/>
        <v>0</v>
      </c>
      <c r="Y48" s="163">
        <f t="shared" si="24"/>
        <v>0</v>
      </c>
      <c r="Z48" s="162">
        <f t="shared" si="24"/>
        <v>0</v>
      </c>
      <c r="AA48" s="163">
        <f t="shared" si="24"/>
        <v>0</v>
      </c>
      <c r="AB48" s="162">
        <f t="shared" si="24"/>
        <v>0</v>
      </c>
      <c r="AC48" s="163">
        <f t="shared" si="24"/>
        <v>0</v>
      </c>
      <c r="AD48" s="162">
        <f t="shared" si="24"/>
        <v>0</v>
      </c>
      <c r="AE48" s="163">
        <f t="shared" si="24"/>
        <v>0</v>
      </c>
      <c r="AF48" s="162">
        <f t="shared" si="24"/>
        <v>0</v>
      </c>
      <c r="AG48" s="164">
        <f t="shared" si="24"/>
        <v>0</v>
      </c>
      <c r="AH48" s="162">
        <f t="shared" si="24"/>
        <v>0</v>
      </c>
      <c r="AI48" s="163">
        <f t="shared" si="24"/>
        <v>0</v>
      </c>
      <c r="AJ48" s="165">
        <f t="shared" si="24"/>
        <v>0</v>
      </c>
      <c r="AK48" s="166">
        <f t="shared" si="24"/>
        <v>0</v>
      </c>
      <c r="AL48" s="849"/>
      <c r="AM48" s="850"/>
      <c r="AN48" s="850"/>
      <c r="AO48" s="850"/>
      <c r="AP48" s="850"/>
      <c r="AQ48" s="850"/>
      <c r="AR48" s="851"/>
      <c r="AS48" s="852"/>
      <c r="AT48" s="850"/>
      <c r="AU48" s="851"/>
      <c r="AV48" s="852"/>
      <c r="AW48" s="850"/>
      <c r="AX48" s="850"/>
      <c r="AY48" s="850"/>
      <c r="AZ48" s="853"/>
      <c r="BA48" s="41" t="s">
        <v>1685</v>
      </c>
      <c r="BB48" s="41" t="s">
        <v>1954</v>
      </c>
      <c r="BC48" s="42" t="s">
        <v>1686</v>
      </c>
    </row>
    <row r="49" spans="1:55" ht="17.25" customHeight="1" x14ac:dyDescent="0.2">
      <c r="A49" s="871"/>
      <c r="B49" s="873" t="str">
        <f>VLOOKUP($D$9,'PROYECTOS REGISTRADOS'!$A$2:$D$82,4,0)</f>
        <v>Construcción y mantenimiento de infraestructura municipal Tocancipá, Cundinamarca, Centro Oriente</v>
      </c>
      <c r="C49" s="876" t="str">
        <f>VLOOKUP($D$9,'PROYECTOS REGISTRADOS'!$A$2:$D$82,3,0)</f>
        <v>2016-25817-0036</v>
      </c>
      <c r="D49" s="879" t="s">
        <v>1015</v>
      </c>
      <c r="E49" s="882" t="str">
        <f>IF(D49=0,"0-0",(VLOOKUP(D49,'CONSOLIDADO PLAN DESARROLLO'!$EL$9:$ET$304,2,0)))</f>
        <v>Adecuar la infraestructura educativa a los efectos del cambio climático conjuntamente con la Gobernación</v>
      </c>
      <c r="F49" s="885" t="str">
        <f>IF(D49=0,"0-0",(VLOOKUP(D49,'CONSOLIDADO PLAN DESARROLLO'!$EL$9:$ET$304,3,0)))</f>
        <v>No. de Adecuaciones realizadas</v>
      </c>
      <c r="G49" s="888">
        <f>IF(D49=0,"0-0",(VLOOKUP(D49,'CONSOLIDADO PLAN DESARROLLO'!$EL$9:$ET$304,4,0)))</f>
        <v>0</v>
      </c>
      <c r="H49" s="891">
        <f>IF(D49=0,"0-0",(VLOOKUP(D49,'CONSOLIDADO PLAN DESARROLLO'!$EL$9:$ET$304,5,0)))</f>
        <v>3</v>
      </c>
      <c r="I49" s="894">
        <f>IF(D49=0,"0-0",(VLOOKUP(D49,'CONSOLIDADO PLAN DESARROLLO'!$EL$9:$ET$304,$R$3,0)))</f>
        <v>1</v>
      </c>
      <c r="J49" s="895"/>
      <c r="K49" s="906">
        <v>0</v>
      </c>
      <c r="L49" s="909">
        <v>0</v>
      </c>
      <c r="M49" s="797" t="s">
        <v>1932</v>
      </c>
      <c r="N49" s="798" t="s">
        <v>1928</v>
      </c>
      <c r="O49" s="800">
        <v>3</v>
      </c>
      <c r="P49" s="43">
        <v>0</v>
      </c>
      <c r="Q49" s="43">
        <v>0</v>
      </c>
      <c r="R49" s="912">
        <f>VLOOKUP($D49,'[4]Tablero Logro Metas 2019'!$AK$7:$AS$302,3,0)</f>
        <v>0</v>
      </c>
      <c r="S49" s="44">
        <v>0</v>
      </c>
      <c r="T49" s="915">
        <f>VLOOKUP($D49,'[4]Tablero Logro Metas 2019'!$AK$7:$AS$302,4,0)</f>
        <v>0</v>
      </c>
      <c r="U49" s="44">
        <v>0</v>
      </c>
      <c r="V49" s="915">
        <f>VLOOKUP($D49,'[4]Tablero Logro Metas 2019'!$AK$7:$AS$302,5,0)</f>
        <v>0</v>
      </c>
      <c r="W49" s="44">
        <v>0</v>
      </c>
      <c r="X49" s="915">
        <f>VLOOKUP($D49,'[4]Tablero Logro Metas 2019'!$AK$7:$AS$302,6,0)</f>
        <v>0</v>
      </c>
      <c r="Y49" s="44">
        <v>0</v>
      </c>
      <c r="Z49" s="915">
        <f>VLOOKUP($D49,'[4]Tablero Logro Metas 2019'!$AK$7:$AS$302,7,0)</f>
        <v>0</v>
      </c>
      <c r="AA49" s="44">
        <v>0</v>
      </c>
      <c r="AB49" s="915">
        <f>VLOOKUP($D49,'[4]Tablero Logro Metas 2019'!$AK$7:$AS$302,8,0)</f>
        <v>0</v>
      </c>
      <c r="AC49" s="44">
        <v>0</v>
      </c>
      <c r="AD49" s="915">
        <f>VLOOKUP($D49,'[4]Tablero Logro Metas 2019'!$AK$7:$AS$302,9,0)</f>
        <v>0</v>
      </c>
      <c r="AE49" s="44">
        <v>0</v>
      </c>
      <c r="AF49" s="900"/>
      <c r="AG49" s="44">
        <v>0</v>
      </c>
      <c r="AH49" s="900"/>
      <c r="AI49" s="45">
        <v>0</v>
      </c>
      <c r="AJ49" s="903">
        <f>+R49+T49+V49+X49+Z49+AB49+AD49+AF49+AH49</f>
        <v>0</v>
      </c>
      <c r="AK49" s="99">
        <f t="shared" ref="AK49:AK54" si="25">AC49+AE49+AG49+S49+U49+W49+Y49+AA49+AI49</f>
        <v>0</v>
      </c>
      <c r="AL49" s="47">
        <v>0</v>
      </c>
      <c r="AM49" s="48">
        <v>0</v>
      </c>
      <c r="AN49" s="48">
        <v>0</v>
      </c>
      <c r="AO49" s="48">
        <v>0</v>
      </c>
      <c r="AP49" s="48">
        <v>0</v>
      </c>
      <c r="AQ49" s="48">
        <v>0</v>
      </c>
      <c r="AR49" s="49">
        <f t="shared" ref="AR49:AR51" si="26">SUM(AL49:AQ49)</f>
        <v>0</v>
      </c>
      <c r="AS49" s="50">
        <v>0</v>
      </c>
      <c r="AT49" s="48">
        <v>0</v>
      </c>
      <c r="AU49" s="49">
        <f t="shared" ref="AU49:AU51" si="27">SUM(AS49:AT49)</f>
        <v>0</v>
      </c>
      <c r="AV49" s="50">
        <v>0</v>
      </c>
      <c r="AW49" s="48">
        <v>0</v>
      </c>
      <c r="AX49" s="48">
        <v>0</v>
      </c>
      <c r="AY49" s="48">
        <v>0</v>
      </c>
      <c r="AZ49" s="51">
        <v>0</v>
      </c>
      <c r="BA49" s="52"/>
      <c r="BB49" s="52"/>
      <c r="BC49" s="53" t="s">
        <v>1964</v>
      </c>
    </row>
    <row r="50" spans="1:55" ht="17.25" customHeight="1" x14ac:dyDescent="0.2">
      <c r="A50" s="871"/>
      <c r="B50" s="873"/>
      <c r="C50" s="876"/>
      <c r="D50" s="879"/>
      <c r="E50" s="883"/>
      <c r="F50" s="885"/>
      <c r="G50" s="888"/>
      <c r="H50" s="891"/>
      <c r="I50" s="896"/>
      <c r="J50" s="897"/>
      <c r="K50" s="906"/>
      <c r="L50" s="910"/>
      <c r="M50" s="797" t="s">
        <v>1940</v>
      </c>
      <c r="N50" s="798" t="s">
        <v>1928</v>
      </c>
      <c r="O50" s="800">
        <v>3</v>
      </c>
      <c r="P50" s="43">
        <v>0</v>
      </c>
      <c r="Q50" s="43">
        <v>0</v>
      </c>
      <c r="R50" s="913"/>
      <c r="S50" s="44">
        <v>0</v>
      </c>
      <c r="T50" s="916"/>
      <c r="U50" s="44">
        <v>0</v>
      </c>
      <c r="V50" s="916"/>
      <c r="W50" s="44">
        <v>0</v>
      </c>
      <c r="X50" s="916"/>
      <c r="Y50" s="44">
        <v>0</v>
      </c>
      <c r="Z50" s="916"/>
      <c r="AA50" s="44">
        <v>0</v>
      </c>
      <c r="AB50" s="916"/>
      <c r="AC50" s="44">
        <v>0</v>
      </c>
      <c r="AD50" s="916"/>
      <c r="AE50" s="44">
        <v>0</v>
      </c>
      <c r="AF50" s="901"/>
      <c r="AG50" s="44">
        <v>0</v>
      </c>
      <c r="AH50" s="901"/>
      <c r="AI50" s="45">
        <v>0</v>
      </c>
      <c r="AJ50" s="904"/>
      <c r="AK50" s="99">
        <f t="shared" si="25"/>
        <v>0</v>
      </c>
      <c r="AL50" s="47">
        <v>0</v>
      </c>
      <c r="AM50" s="48">
        <v>0</v>
      </c>
      <c r="AN50" s="48">
        <v>0</v>
      </c>
      <c r="AO50" s="48">
        <v>0</v>
      </c>
      <c r="AP50" s="48">
        <v>0</v>
      </c>
      <c r="AQ50" s="48">
        <v>0</v>
      </c>
      <c r="AR50" s="49">
        <f t="shared" si="26"/>
        <v>0</v>
      </c>
      <c r="AS50" s="50">
        <v>0</v>
      </c>
      <c r="AT50" s="48">
        <v>0</v>
      </c>
      <c r="AU50" s="49">
        <f t="shared" si="27"/>
        <v>0</v>
      </c>
      <c r="AV50" s="50">
        <v>0</v>
      </c>
      <c r="AW50" s="48">
        <v>0</v>
      </c>
      <c r="AX50" s="48">
        <v>0</v>
      </c>
      <c r="AY50" s="48">
        <v>0</v>
      </c>
      <c r="AZ50" s="51">
        <v>0</v>
      </c>
      <c r="BA50" s="52"/>
      <c r="BB50" s="52"/>
      <c r="BC50" s="53" t="s">
        <v>1964</v>
      </c>
    </row>
    <row r="51" spans="1:55" ht="17.25" customHeight="1" x14ac:dyDescent="0.2">
      <c r="A51" s="871"/>
      <c r="B51" s="873"/>
      <c r="C51" s="876"/>
      <c r="D51" s="879"/>
      <c r="E51" s="883"/>
      <c r="F51" s="885"/>
      <c r="G51" s="888"/>
      <c r="H51" s="891"/>
      <c r="I51" s="896"/>
      <c r="J51" s="897"/>
      <c r="K51" s="906"/>
      <c r="L51" s="910"/>
      <c r="M51" s="797" t="s">
        <v>1934</v>
      </c>
      <c r="N51" s="798" t="s">
        <v>1928</v>
      </c>
      <c r="O51" s="800">
        <v>3</v>
      </c>
      <c r="P51" s="43">
        <v>0</v>
      </c>
      <c r="Q51" s="43">
        <v>0</v>
      </c>
      <c r="R51" s="913"/>
      <c r="S51" s="44">
        <v>0</v>
      </c>
      <c r="T51" s="916"/>
      <c r="U51" s="44">
        <v>0</v>
      </c>
      <c r="V51" s="916"/>
      <c r="W51" s="44">
        <v>0</v>
      </c>
      <c r="X51" s="916"/>
      <c r="Y51" s="44">
        <v>0</v>
      </c>
      <c r="Z51" s="916"/>
      <c r="AA51" s="44">
        <v>0</v>
      </c>
      <c r="AB51" s="916"/>
      <c r="AC51" s="44">
        <v>0</v>
      </c>
      <c r="AD51" s="916"/>
      <c r="AE51" s="44">
        <v>0</v>
      </c>
      <c r="AF51" s="901"/>
      <c r="AG51" s="44">
        <v>0</v>
      </c>
      <c r="AH51" s="901"/>
      <c r="AI51" s="45">
        <v>0</v>
      </c>
      <c r="AJ51" s="904"/>
      <c r="AK51" s="99">
        <f t="shared" si="25"/>
        <v>0</v>
      </c>
      <c r="AL51" s="47">
        <v>0</v>
      </c>
      <c r="AM51" s="48">
        <v>0</v>
      </c>
      <c r="AN51" s="48">
        <v>0</v>
      </c>
      <c r="AO51" s="48">
        <v>0</v>
      </c>
      <c r="AP51" s="48">
        <v>0</v>
      </c>
      <c r="AQ51" s="48">
        <v>0</v>
      </c>
      <c r="AR51" s="49">
        <f t="shared" si="26"/>
        <v>0</v>
      </c>
      <c r="AS51" s="50">
        <v>0</v>
      </c>
      <c r="AT51" s="48">
        <v>0</v>
      </c>
      <c r="AU51" s="49">
        <f t="shared" si="27"/>
        <v>0</v>
      </c>
      <c r="AV51" s="50">
        <v>0</v>
      </c>
      <c r="AW51" s="48">
        <v>0</v>
      </c>
      <c r="AX51" s="48">
        <v>0</v>
      </c>
      <c r="AY51" s="48">
        <v>0</v>
      </c>
      <c r="AZ51" s="51">
        <v>0</v>
      </c>
      <c r="BA51" s="52"/>
      <c r="BB51" s="52"/>
      <c r="BC51" s="53" t="s">
        <v>1964</v>
      </c>
    </row>
    <row r="52" spans="1:55" ht="17.25" customHeight="1" x14ac:dyDescent="0.2">
      <c r="A52" s="871"/>
      <c r="B52" s="873"/>
      <c r="C52" s="876"/>
      <c r="D52" s="879"/>
      <c r="E52" s="883"/>
      <c r="F52" s="885"/>
      <c r="G52" s="888"/>
      <c r="H52" s="891"/>
      <c r="I52" s="896"/>
      <c r="J52" s="897"/>
      <c r="K52" s="906"/>
      <c r="L52" s="910"/>
      <c r="M52" s="167"/>
      <c r="N52" s="168"/>
      <c r="O52" s="169"/>
      <c r="P52" s="43"/>
      <c r="Q52" s="43"/>
      <c r="R52" s="913"/>
      <c r="S52" s="44"/>
      <c r="T52" s="916"/>
      <c r="U52" s="45"/>
      <c r="V52" s="916"/>
      <c r="W52" s="45"/>
      <c r="X52" s="916"/>
      <c r="Y52" s="45"/>
      <c r="Z52" s="916"/>
      <c r="AA52" s="45"/>
      <c r="AB52" s="916"/>
      <c r="AC52" s="45"/>
      <c r="AD52" s="916"/>
      <c r="AE52" s="45"/>
      <c r="AF52" s="901"/>
      <c r="AG52" s="46"/>
      <c r="AH52" s="901"/>
      <c r="AI52" s="45"/>
      <c r="AJ52" s="904"/>
      <c r="AK52" s="99">
        <f t="shared" si="25"/>
        <v>0</v>
      </c>
      <c r="AL52" s="47"/>
      <c r="AM52" s="48"/>
      <c r="AN52" s="48"/>
      <c r="AO52" s="48"/>
      <c r="AP52" s="48"/>
      <c r="AQ52" s="48"/>
      <c r="AR52" s="49">
        <f t="shared" ref="AR52:AR54" si="28">SUM(AL52:AQ52)</f>
        <v>0</v>
      </c>
      <c r="AS52" s="50"/>
      <c r="AT52" s="48"/>
      <c r="AU52" s="49">
        <f t="shared" ref="AU52:AU53" si="29">SUM(AS52:AT52)</f>
        <v>0</v>
      </c>
      <c r="AV52" s="50"/>
      <c r="AW52" s="48"/>
      <c r="AX52" s="48"/>
      <c r="AY52" s="48"/>
      <c r="AZ52" s="51"/>
      <c r="BA52" s="52"/>
      <c r="BB52" s="52"/>
      <c r="BC52" s="53"/>
    </row>
    <row r="53" spans="1:55" ht="17.25" customHeight="1" x14ac:dyDescent="0.2">
      <c r="A53" s="871"/>
      <c r="B53" s="873"/>
      <c r="C53" s="876"/>
      <c r="D53" s="879"/>
      <c r="E53" s="883"/>
      <c r="F53" s="885"/>
      <c r="G53" s="888"/>
      <c r="H53" s="891"/>
      <c r="I53" s="896"/>
      <c r="J53" s="897"/>
      <c r="K53" s="906"/>
      <c r="L53" s="910"/>
      <c r="M53" s="167"/>
      <c r="N53" s="168"/>
      <c r="O53" s="169"/>
      <c r="P53" s="43"/>
      <c r="Q53" s="43"/>
      <c r="R53" s="913"/>
      <c r="S53" s="44"/>
      <c r="T53" s="916"/>
      <c r="U53" s="45"/>
      <c r="V53" s="916"/>
      <c r="W53" s="45"/>
      <c r="X53" s="916"/>
      <c r="Y53" s="45"/>
      <c r="Z53" s="916"/>
      <c r="AA53" s="45"/>
      <c r="AB53" s="916"/>
      <c r="AC53" s="45"/>
      <c r="AD53" s="916"/>
      <c r="AE53" s="45"/>
      <c r="AF53" s="901"/>
      <c r="AG53" s="46"/>
      <c r="AH53" s="901"/>
      <c r="AI53" s="45"/>
      <c r="AJ53" s="904"/>
      <c r="AK53" s="99">
        <f t="shared" si="25"/>
        <v>0</v>
      </c>
      <c r="AL53" s="47"/>
      <c r="AM53" s="48"/>
      <c r="AN53" s="48"/>
      <c r="AO53" s="48"/>
      <c r="AP53" s="48"/>
      <c r="AQ53" s="48"/>
      <c r="AR53" s="49">
        <f t="shared" si="28"/>
        <v>0</v>
      </c>
      <c r="AS53" s="50"/>
      <c r="AT53" s="48"/>
      <c r="AU53" s="49">
        <f t="shared" si="29"/>
        <v>0</v>
      </c>
      <c r="AV53" s="50"/>
      <c r="AW53" s="48"/>
      <c r="AX53" s="48"/>
      <c r="AY53" s="48"/>
      <c r="AZ53" s="51"/>
      <c r="BA53" s="52"/>
      <c r="BB53" s="52"/>
      <c r="BC53" s="53"/>
    </row>
    <row r="54" spans="1:55" ht="17.25" customHeight="1" x14ac:dyDescent="0.2">
      <c r="A54" s="871"/>
      <c r="B54" s="874"/>
      <c r="C54" s="877"/>
      <c r="D54" s="880"/>
      <c r="E54" s="883"/>
      <c r="F54" s="886"/>
      <c r="G54" s="889"/>
      <c r="H54" s="892"/>
      <c r="I54" s="896"/>
      <c r="J54" s="897"/>
      <c r="K54" s="907"/>
      <c r="L54" s="910"/>
      <c r="M54" s="170"/>
      <c r="N54" s="171"/>
      <c r="O54" s="172"/>
      <c r="P54" s="100"/>
      <c r="Q54" s="100"/>
      <c r="R54" s="913"/>
      <c r="S54" s="101"/>
      <c r="T54" s="916"/>
      <c r="U54" s="102"/>
      <c r="V54" s="916"/>
      <c r="W54" s="102"/>
      <c r="X54" s="916"/>
      <c r="Y54" s="102"/>
      <c r="Z54" s="916"/>
      <c r="AA54" s="102"/>
      <c r="AB54" s="916"/>
      <c r="AC54" s="102"/>
      <c r="AD54" s="916"/>
      <c r="AE54" s="102"/>
      <c r="AF54" s="901"/>
      <c r="AG54" s="103"/>
      <c r="AH54" s="901"/>
      <c r="AI54" s="102"/>
      <c r="AJ54" s="905"/>
      <c r="AK54" s="99">
        <f t="shared" si="25"/>
        <v>0</v>
      </c>
      <c r="AL54" s="104"/>
      <c r="AM54" s="105"/>
      <c r="AN54" s="105"/>
      <c r="AO54" s="105"/>
      <c r="AP54" s="105"/>
      <c r="AQ54" s="105"/>
      <c r="AR54" s="49">
        <f t="shared" si="28"/>
        <v>0</v>
      </c>
      <c r="AS54" s="106"/>
      <c r="AT54" s="105"/>
      <c r="AU54" s="49">
        <f>SUM(AS54:AT54)</f>
        <v>0</v>
      </c>
      <c r="AV54" s="106"/>
      <c r="AW54" s="105"/>
      <c r="AX54" s="105"/>
      <c r="AY54" s="105"/>
      <c r="AZ54" s="107"/>
      <c r="BA54" s="108"/>
      <c r="BB54" s="108"/>
      <c r="BC54" s="109"/>
    </row>
    <row r="55" spans="1:55" ht="9.9499999999999993" customHeight="1" thickBot="1" x14ac:dyDescent="0.25">
      <c r="A55" s="872"/>
      <c r="B55" s="875"/>
      <c r="C55" s="878"/>
      <c r="D55" s="881"/>
      <c r="E55" s="884"/>
      <c r="F55" s="887"/>
      <c r="G55" s="890"/>
      <c r="H55" s="893"/>
      <c r="I55" s="898"/>
      <c r="J55" s="899"/>
      <c r="K55" s="908"/>
      <c r="L55" s="911"/>
      <c r="M55" s="173"/>
      <c r="N55" s="174"/>
      <c r="O55" s="175"/>
      <c r="P55" s="110"/>
      <c r="Q55" s="110"/>
      <c r="R55" s="914"/>
      <c r="S55" s="176"/>
      <c r="T55" s="917"/>
      <c r="U55" s="177"/>
      <c r="V55" s="917"/>
      <c r="W55" s="177"/>
      <c r="X55" s="917"/>
      <c r="Y55" s="177"/>
      <c r="Z55" s="917"/>
      <c r="AA55" s="177"/>
      <c r="AB55" s="917"/>
      <c r="AC55" s="177"/>
      <c r="AD55" s="917"/>
      <c r="AE55" s="177"/>
      <c r="AF55" s="902"/>
      <c r="AG55" s="178"/>
      <c r="AH55" s="902"/>
      <c r="AI55" s="177"/>
      <c r="AJ55" s="111"/>
      <c r="AK55" s="112"/>
      <c r="AL55" s="179"/>
      <c r="AM55" s="180"/>
      <c r="AN55" s="180"/>
      <c r="AO55" s="180"/>
      <c r="AP55" s="180"/>
      <c r="AQ55" s="180"/>
      <c r="AR55" s="113"/>
      <c r="AS55" s="181"/>
      <c r="AT55" s="180"/>
      <c r="AU55" s="113"/>
      <c r="AV55" s="181"/>
      <c r="AW55" s="180"/>
      <c r="AX55" s="180"/>
      <c r="AY55" s="180"/>
      <c r="AZ55" s="182"/>
      <c r="BA55" s="183"/>
      <c r="BB55" s="183"/>
      <c r="BC55" s="184"/>
    </row>
    <row r="56" spans="1:55" ht="6" customHeight="1" x14ac:dyDescent="0.2">
      <c r="A56" s="149"/>
      <c r="B56" s="185"/>
      <c r="C56" s="185"/>
      <c r="D56" s="185"/>
      <c r="E56" s="185"/>
      <c r="F56" s="185"/>
      <c r="G56" s="185"/>
      <c r="H56" s="185"/>
      <c r="I56" s="918"/>
      <c r="J56" s="918"/>
      <c r="K56" s="185"/>
      <c r="L56" s="185"/>
      <c r="M56" s="185"/>
      <c r="N56" s="185"/>
      <c r="O56" s="185"/>
      <c r="P56" s="185"/>
      <c r="Q56" s="185"/>
      <c r="R56" s="185"/>
      <c r="S56" s="185"/>
      <c r="T56" s="185"/>
      <c r="U56" s="185"/>
      <c r="V56" s="185"/>
      <c r="W56" s="185"/>
      <c r="X56" s="185"/>
      <c r="Y56" s="185"/>
      <c r="Z56" s="185"/>
      <c r="AA56" s="185"/>
      <c r="AB56" s="185"/>
      <c r="AC56" s="185"/>
      <c r="AD56" s="185"/>
      <c r="AE56" s="185"/>
      <c r="AF56" s="185"/>
      <c r="AG56" s="185"/>
      <c r="AH56" s="185"/>
      <c r="AI56" s="185"/>
      <c r="AJ56" s="185"/>
      <c r="AK56" s="186"/>
      <c r="AL56" s="186"/>
      <c r="AM56" s="186"/>
      <c r="AN56" s="186"/>
      <c r="AO56" s="186"/>
      <c r="AP56" s="186"/>
      <c r="AQ56" s="187"/>
      <c r="AR56" s="186"/>
      <c r="AS56" s="186"/>
      <c r="AT56" s="186"/>
      <c r="AU56" s="186"/>
      <c r="AV56" s="186"/>
      <c r="AW56" s="186"/>
      <c r="AX56" s="186"/>
      <c r="AY56" s="186"/>
      <c r="AZ56" s="186"/>
      <c r="BA56" s="186"/>
      <c r="BB56" s="186"/>
      <c r="BC56" s="149"/>
    </row>
    <row r="57" spans="1:55" ht="72" customHeight="1" x14ac:dyDescent="0.2">
      <c r="A57" s="870">
        <v>6</v>
      </c>
      <c r="B57" s="154" t="s">
        <v>1704</v>
      </c>
      <c r="C57" s="155" t="s">
        <v>1705</v>
      </c>
      <c r="D57" s="156" t="s">
        <v>21</v>
      </c>
      <c r="E57" s="156" t="s">
        <v>1890</v>
      </c>
      <c r="F57" s="155" t="s">
        <v>1706</v>
      </c>
      <c r="G57" s="157" t="s">
        <v>1679</v>
      </c>
      <c r="H57" s="157" t="s">
        <v>1680</v>
      </c>
      <c r="I57" s="158" t="s">
        <v>1906</v>
      </c>
      <c r="J57" s="159">
        <f>+$N$3</f>
        <v>2019</v>
      </c>
      <c r="K57" s="157" t="s">
        <v>1923</v>
      </c>
      <c r="L57" s="158" t="s">
        <v>1951</v>
      </c>
      <c r="M57" s="155" t="s">
        <v>1707</v>
      </c>
      <c r="N57" s="155" t="s">
        <v>1708</v>
      </c>
      <c r="O57" s="155" t="s">
        <v>1709</v>
      </c>
      <c r="P57" s="155" t="s">
        <v>1961</v>
      </c>
      <c r="Q57" s="155" t="s">
        <v>1952</v>
      </c>
      <c r="R57" s="160">
        <f>SUM(R58:R64)</f>
        <v>0</v>
      </c>
      <c r="S57" s="161">
        <f t="shared" ref="S57:AK57" si="30">SUM(S58:S64)</f>
        <v>0</v>
      </c>
      <c r="T57" s="162">
        <f t="shared" si="30"/>
        <v>0</v>
      </c>
      <c r="U57" s="163">
        <f t="shared" si="30"/>
        <v>0</v>
      </c>
      <c r="V57" s="162">
        <f t="shared" si="30"/>
        <v>0</v>
      </c>
      <c r="W57" s="163">
        <f t="shared" si="30"/>
        <v>0</v>
      </c>
      <c r="X57" s="162">
        <f t="shared" si="30"/>
        <v>0</v>
      </c>
      <c r="Y57" s="163">
        <f t="shared" si="30"/>
        <v>0</v>
      </c>
      <c r="Z57" s="162">
        <f t="shared" si="30"/>
        <v>0</v>
      </c>
      <c r="AA57" s="163">
        <f t="shared" si="30"/>
        <v>0</v>
      </c>
      <c r="AB57" s="162">
        <f t="shared" si="30"/>
        <v>0</v>
      </c>
      <c r="AC57" s="163">
        <f t="shared" si="30"/>
        <v>0</v>
      </c>
      <c r="AD57" s="162">
        <f t="shared" si="30"/>
        <v>0</v>
      </c>
      <c r="AE57" s="163">
        <f t="shared" si="30"/>
        <v>0</v>
      </c>
      <c r="AF57" s="162">
        <f t="shared" si="30"/>
        <v>0</v>
      </c>
      <c r="AG57" s="164">
        <f t="shared" si="30"/>
        <v>0</v>
      </c>
      <c r="AH57" s="162">
        <f t="shared" si="30"/>
        <v>0</v>
      </c>
      <c r="AI57" s="163">
        <f t="shared" si="30"/>
        <v>0</v>
      </c>
      <c r="AJ57" s="165">
        <f t="shared" si="30"/>
        <v>0</v>
      </c>
      <c r="AK57" s="166">
        <f t="shared" si="30"/>
        <v>0</v>
      </c>
      <c r="AL57" s="849"/>
      <c r="AM57" s="850"/>
      <c r="AN57" s="850"/>
      <c r="AO57" s="850"/>
      <c r="AP57" s="850"/>
      <c r="AQ57" s="850"/>
      <c r="AR57" s="851"/>
      <c r="AS57" s="852"/>
      <c r="AT57" s="850"/>
      <c r="AU57" s="851"/>
      <c r="AV57" s="852"/>
      <c r="AW57" s="850"/>
      <c r="AX57" s="850"/>
      <c r="AY57" s="850"/>
      <c r="AZ57" s="853"/>
      <c r="BA57" s="41" t="s">
        <v>1685</v>
      </c>
      <c r="BB57" s="41" t="s">
        <v>1954</v>
      </c>
      <c r="BC57" s="42" t="s">
        <v>1686</v>
      </c>
    </row>
    <row r="58" spans="1:55" ht="22.5" customHeight="1" x14ac:dyDescent="0.2">
      <c r="A58" s="871"/>
      <c r="B58" s="873" t="str">
        <f>VLOOKUP($D$9,'PROYECTOS REGISTRADOS'!$A$2:$D$82,4,0)</f>
        <v>Construcción y mantenimiento de infraestructura municipal Tocancipá, Cundinamarca, Centro Oriente</v>
      </c>
      <c r="C58" s="876" t="str">
        <f>VLOOKUP($D$9,'PROYECTOS REGISTRADOS'!$A$2:$D$82,3,0)</f>
        <v>2016-25817-0036</v>
      </c>
      <c r="D58" s="879" t="s">
        <v>1019</v>
      </c>
      <c r="E58" s="882" t="str">
        <f>IF(D58=0,"0-0",(VLOOKUP(D58,'CONSOLIDADO PLAN DESARROLLO'!$EL$9:$ET$304,2,0)))</f>
        <v>Realizar el mantenimiento de infraestructura deportiva</v>
      </c>
      <c r="F58" s="885" t="str">
        <f>IF(D58=0,"0-0",(VLOOKUP(D58,'CONSOLIDADO PLAN DESARROLLO'!$EL$9:$ET$304,3,0)))</f>
        <v>infraestructuras mantenidas</v>
      </c>
      <c r="G58" s="888">
        <f>IF(D58=0,"0-0",(VLOOKUP(D58,'CONSOLIDADO PLAN DESARROLLO'!$EL$9:$ET$304,4,0)))</f>
        <v>26</v>
      </c>
      <c r="H58" s="891">
        <f>IF(D58=0,"0-0",(VLOOKUP(D58,'CONSOLIDADO PLAN DESARROLLO'!$EL$9:$ET$304,5,0)))</f>
        <v>26</v>
      </c>
      <c r="I58" s="894">
        <f>IF(D58=0,"0-0",(VLOOKUP(D58,'CONSOLIDADO PLAN DESARROLLO'!$EL$9:$ET$304,$R$3,0)))</f>
        <v>8</v>
      </c>
      <c r="J58" s="895"/>
      <c r="K58" s="906">
        <v>0</v>
      </c>
      <c r="L58" s="909">
        <v>0</v>
      </c>
      <c r="M58" s="799" t="s">
        <v>1941</v>
      </c>
      <c r="N58" s="798" t="s">
        <v>1928</v>
      </c>
      <c r="O58" s="800">
        <v>4</v>
      </c>
      <c r="P58" s="43">
        <v>0</v>
      </c>
      <c r="Q58" s="43">
        <v>0</v>
      </c>
      <c r="R58" s="912">
        <f>VLOOKUP($D58,'[4]Tablero Logro Metas 2019'!$AK$7:$AS$302,3,0)</f>
        <v>0</v>
      </c>
      <c r="S58" s="44">
        <v>0</v>
      </c>
      <c r="T58" s="915">
        <f>VLOOKUP($D58,'[4]Tablero Logro Metas 2019'!$AK$7:$AS$302,4,0)</f>
        <v>0</v>
      </c>
      <c r="U58" s="44">
        <v>0</v>
      </c>
      <c r="V58" s="915">
        <f>VLOOKUP($D58,'[4]Tablero Logro Metas 2019'!$AK$7:$AS$302,5,0)</f>
        <v>0</v>
      </c>
      <c r="W58" s="44">
        <v>0</v>
      </c>
      <c r="X58" s="915">
        <f>VLOOKUP($D58,'[4]Tablero Logro Metas 2019'!$AK$7:$AS$302,6,0)</f>
        <v>0</v>
      </c>
      <c r="Y58" s="44">
        <v>0</v>
      </c>
      <c r="Z58" s="915">
        <f>VLOOKUP($D58,'[4]Tablero Logro Metas 2019'!$AK$7:$AS$302,7,0)</f>
        <v>0</v>
      </c>
      <c r="AA58" s="45">
        <v>0</v>
      </c>
      <c r="AB58" s="915">
        <f>VLOOKUP($D58,'[4]Tablero Logro Metas 2019'!$AK$7:$AS$302,8,0)</f>
        <v>0</v>
      </c>
      <c r="AC58" s="44">
        <v>0</v>
      </c>
      <c r="AD58" s="915">
        <f>VLOOKUP($D58,'[4]Tablero Logro Metas 2019'!$AK$7:$AS$302,9,0)</f>
        <v>0</v>
      </c>
      <c r="AE58" s="44">
        <v>0</v>
      </c>
      <c r="AF58" s="900"/>
      <c r="AG58" s="44">
        <v>0</v>
      </c>
      <c r="AH58" s="900"/>
      <c r="AI58" s="44">
        <v>0</v>
      </c>
      <c r="AJ58" s="903">
        <f>+R58+T58+V58+X58+Z58+AB58+AD58+AF58+AH58</f>
        <v>0</v>
      </c>
      <c r="AK58" s="99">
        <f t="shared" ref="AK58:AK63" si="31">AC58+AE58+AG58+S58+U58+W58+Y58+AA58+AI58</f>
        <v>0</v>
      </c>
      <c r="AL58" s="47">
        <v>0</v>
      </c>
      <c r="AM58" s="48">
        <v>0</v>
      </c>
      <c r="AN58" s="48">
        <v>0</v>
      </c>
      <c r="AO58" s="48">
        <v>0</v>
      </c>
      <c r="AP58" s="48">
        <v>0</v>
      </c>
      <c r="AQ58" s="48">
        <v>0</v>
      </c>
      <c r="AR58" s="49">
        <f t="shared" ref="AR58:AR60" si="32">SUM(AL58:AQ58)</f>
        <v>0</v>
      </c>
      <c r="AS58" s="50">
        <v>0</v>
      </c>
      <c r="AT58" s="48">
        <v>0</v>
      </c>
      <c r="AU58" s="49">
        <f t="shared" ref="AU58:AU60" si="33">SUM(AS58:AT58)</f>
        <v>0</v>
      </c>
      <c r="AV58" s="50">
        <v>0</v>
      </c>
      <c r="AW58" s="48">
        <v>0</v>
      </c>
      <c r="AX58" s="48">
        <v>0</v>
      </c>
      <c r="AY58" s="48">
        <v>0</v>
      </c>
      <c r="AZ58" s="51">
        <v>0</v>
      </c>
      <c r="BA58" s="52"/>
      <c r="BB58" s="52"/>
      <c r="BC58" s="53" t="s">
        <v>1964</v>
      </c>
    </row>
    <row r="59" spans="1:55" ht="36" x14ac:dyDescent="0.2">
      <c r="A59" s="871"/>
      <c r="B59" s="873"/>
      <c r="C59" s="876"/>
      <c r="D59" s="879"/>
      <c r="E59" s="883"/>
      <c r="F59" s="885"/>
      <c r="G59" s="888"/>
      <c r="H59" s="891"/>
      <c r="I59" s="896"/>
      <c r="J59" s="897"/>
      <c r="K59" s="906"/>
      <c r="L59" s="910"/>
      <c r="M59" s="799" t="s">
        <v>1936</v>
      </c>
      <c r="N59" s="798" t="s">
        <v>1928</v>
      </c>
      <c r="O59" s="800">
        <v>26</v>
      </c>
      <c r="P59" s="43">
        <v>0</v>
      </c>
      <c r="Q59" s="43">
        <v>0</v>
      </c>
      <c r="R59" s="913"/>
      <c r="S59" s="44">
        <v>0</v>
      </c>
      <c r="T59" s="916"/>
      <c r="U59" s="44">
        <v>0</v>
      </c>
      <c r="V59" s="916"/>
      <c r="W59" s="44">
        <v>0</v>
      </c>
      <c r="X59" s="916"/>
      <c r="Y59" s="44">
        <v>0</v>
      </c>
      <c r="Z59" s="916"/>
      <c r="AA59" s="45">
        <v>0</v>
      </c>
      <c r="AB59" s="916"/>
      <c r="AC59" s="44">
        <v>0</v>
      </c>
      <c r="AD59" s="916"/>
      <c r="AE59" s="44">
        <v>0</v>
      </c>
      <c r="AF59" s="901"/>
      <c r="AG59" s="44">
        <v>0</v>
      </c>
      <c r="AH59" s="901"/>
      <c r="AI59" s="44">
        <v>0</v>
      </c>
      <c r="AJ59" s="904"/>
      <c r="AK59" s="99">
        <f t="shared" si="31"/>
        <v>0</v>
      </c>
      <c r="AL59" s="47">
        <v>0</v>
      </c>
      <c r="AM59" s="48">
        <v>0</v>
      </c>
      <c r="AN59" s="48">
        <v>0</v>
      </c>
      <c r="AO59" s="48">
        <v>0</v>
      </c>
      <c r="AP59" s="48">
        <v>0</v>
      </c>
      <c r="AQ59" s="48">
        <v>0</v>
      </c>
      <c r="AR59" s="49">
        <f t="shared" si="32"/>
        <v>0</v>
      </c>
      <c r="AS59" s="50">
        <v>0</v>
      </c>
      <c r="AT59" s="48">
        <v>0</v>
      </c>
      <c r="AU59" s="49">
        <f t="shared" si="33"/>
        <v>0</v>
      </c>
      <c r="AV59" s="50">
        <v>0</v>
      </c>
      <c r="AW59" s="48">
        <v>0</v>
      </c>
      <c r="AX59" s="48">
        <v>0</v>
      </c>
      <c r="AY59" s="48">
        <v>0</v>
      </c>
      <c r="AZ59" s="51">
        <v>0</v>
      </c>
      <c r="BA59" s="52"/>
      <c r="BB59" s="52"/>
      <c r="BC59" s="53" t="s">
        <v>1964</v>
      </c>
    </row>
    <row r="60" spans="1:55" ht="17.25" customHeight="1" x14ac:dyDescent="0.2">
      <c r="A60" s="871"/>
      <c r="B60" s="873"/>
      <c r="C60" s="876"/>
      <c r="D60" s="879"/>
      <c r="E60" s="883"/>
      <c r="F60" s="885"/>
      <c r="G60" s="888"/>
      <c r="H60" s="891"/>
      <c r="I60" s="896"/>
      <c r="J60" s="897"/>
      <c r="K60" s="906"/>
      <c r="L60" s="910"/>
      <c r="M60" s="799" t="s">
        <v>1937</v>
      </c>
      <c r="N60" s="798" t="s">
        <v>1928</v>
      </c>
      <c r="O60" s="800">
        <v>26</v>
      </c>
      <c r="P60" s="43">
        <v>0</v>
      </c>
      <c r="Q60" s="43">
        <v>0</v>
      </c>
      <c r="R60" s="913"/>
      <c r="S60" s="44">
        <v>0</v>
      </c>
      <c r="T60" s="916"/>
      <c r="U60" s="44">
        <v>0</v>
      </c>
      <c r="V60" s="916"/>
      <c r="W60" s="44">
        <v>0</v>
      </c>
      <c r="X60" s="916"/>
      <c r="Y60" s="44">
        <v>0</v>
      </c>
      <c r="Z60" s="916"/>
      <c r="AA60" s="45">
        <v>0</v>
      </c>
      <c r="AB60" s="916"/>
      <c r="AC60" s="44">
        <v>0</v>
      </c>
      <c r="AD60" s="916"/>
      <c r="AE60" s="44">
        <v>0</v>
      </c>
      <c r="AF60" s="901"/>
      <c r="AG60" s="44">
        <v>0</v>
      </c>
      <c r="AH60" s="901"/>
      <c r="AI60" s="44">
        <v>0</v>
      </c>
      <c r="AJ60" s="904"/>
      <c r="AK60" s="99">
        <f t="shared" si="31"/>
        <v>0</v>
      </c>
      <c r="AL60" s="47">
        <v>0</v>
      </c>
      <c r="AM60" s="48">
        <v>0</v>
      </c>
      <c r="AN60" s="48">
        <v>0</v>
      </c>
      <c r="AO60" s="48">
        <v>0</v>
      </c>
      <c r="AP60" s="48">
        <v>0</v>
      </c>
      <c r="AQ60" s="48">
        <v>0</v>
      </c>
      <c r="AR60" s="49">
        <f t="shared" si="32"/>
        <v>0</v>
      </c>
      <c r="AS60" s="50">
        <v>0</v>
      </c>
      <c r="AT60" s="48">
        <v>0</v>
      </c>
      <c r="AU60" s="49">
        <f t="shared" si="33"/>
        <v>0</v>
      </c>
      <c r="AV60" s="50">
        <v>0</v>
      </c>
      <c r="AW60" s="48">
        <v>0</v>
      </c>
      <c r="AX60" s="48">
        <v>0</v>
      </c>
      <c r="AY60" s="48">
        <v>0</v>
      </c>
      <c r="AZ60" s="51">
        <v>0</v>
      </c>
      <c r="BA60" s="52"/>
      <c r="BB60" s="52"/>
      <c r="BC60" s="53" t="s">
        <v>1964</v>
      </c>
    </row>
    <row r="61" spans="1:55" ht="17.25" customHeight="1" x14ac:dyDescent="0.2">
      <c r="A61" s="871"/>
      <c r="B61" s="873"/>
      <c r="C61" s="876"/>
      <c r="D61" s="879"/>
      <c r="E61" s="883"/>
      <c r="F61" s="885"/>
      <c r="G61" s="888"/>
      <c r="H61" s="891"/>
      <c r="I61" s="896"/>
      <c r="J61" s="897"/>
      <c r="K61" s="906"/>
      <c r="L61" s="910"/>
      <c r="M61" s="167"/>
      <c r="N61" s="168"/>
      <c r="O61" s="801"/>
      <c r="P61" s="43"/>
      <c r="Q61" s="43"/>
      <c r="R61" s="913"/>
      <c r="S61" s="44"/>
      <c r="T61" s="916"/>
      <c r="U61" s="45"/>
      <c r="V61" s="916"/>
      <c r="W61" s="45"/>
      <c r="X61" s="916"/>
      <c r="Y61" s="45"/>
      <c r="Z61" s="916"/>
      <c r="AA61" s="45"/>
      <c r="AB61" s="916"/>
      <c r="AC61" s="45"/>
      <c r="AD61" s="916"/>
      <c r="AE61" s="45"/>
      <c r="AF61" s="901"/>
      <c r="AG61" s="46"/>
      <c r="AH61" s="901"/>
      <c r="AI61" s="45"/>
      <c r="AJ61" s="904"/>
      <c r="AK61" s="99">
        <f t="shared" si="31"/>
        <v>0</v>
      </c>
      <c r="AL61" s="47"/>
      <c r="AM61" s="48"/>
      <c r="AN61" s="48"/>
      <c r="AO61" s="48"/>
      <c r="AP61" s="48"/>
      <c r="AQ61" s="48"/>
      <c r="AR61" s="49">
        <f t="shared" ref="AR61:AR63" si="34">SUM(AL61:AQ61)</f>
        <v>0</v>
      </c>
      <c r="AS61" s="50"/>
      <c r="AT61" s="48"/>
      <c r="AU61" s="49">
        <f t="shared" ref="AU61:AU62" si="35">SUM(AS61:AT61)</f>
        <v>0</v>
      </c>
      <c r="AV61" s="50"/>
      <c r="AW61" s="48"/>
      <c r="AX61" s="48"/>
      <c r="AY61" s="48"/>
      <c r="AZ61" s="51"/>
      <c r="BA61" s="52"/>
      <c r="BB61" s="52"/>
      <c r="BC61" s="53"/>
    </row>
    <row r="62" spans="1:55" ht="17.25" customHeight="1" x14ac:dyDescent="0.2">
      <c r="A62" s="871"/>
      <c r="B62" s="873"/>
      <c r="C62" s="876"/>
      <c r="D62" s="879"/>
      <c r="E62" s="883"/>
      <c r="F62" s="885"/>
      <c r="G62" s="888"/>
      <c r="H62" s="891"/>
      <c r="I62" s="896"/>
      <c r="J62" s="897"/>
      <c r="K62" s="906"/>
      <c r="L62" s="910"/>
      <c r="M62" s="167"/>
      <c r="N62" s="168"/>
      <c r="O62" s="169"/>
      <c r="P62" s="43"/>
      <c r="Q62" s="43"/>
      <c r="R62" s="913"/>
      <c r="S62" s="44"/>
      <c r="T62" s="916"/>
      <c r="U62" s="45"/>
      <c r="V62" s="916"/>
      <c r="W62" s="45"/>
      <c r="X62" s="916"/>
      <c r="Y62" s="45"/>
      <c r="Z62" s="916"/>
      <c r="AA62" s="45"/>
      <c r="AB62" s="916"/>
      <c r="AC62" s="45"/>
      <c r="AD62" s="916"/>
      <c r="AE62" s="45"/>
      <c r="AF62" s="901"/>
      <c r="AG62" s="46"/>
      <c r="AH62" s="901"/>
      <c r="AI62" s="45"/>
      <c r="AJ62" s="904"/>
      <c r="AK62" s="99">
        <f t="shared" si="31"/>
        <v>0</v>
      </c>
      <c r="AL62" s="47"/>
      <c r="AM62" s="48"/>
      <c r="AN62" s="48"/>
      <c r="AO62" s="48"/>
      <c r="AP62" s="48"/>
      <c r="AQ62" s="48"/>
      <c r="AR62" s="49">
        <f t="shared" si="34"/>
        <v>0</v>
      </c>
      <c r="AS62" s="50"/>
      <c r="AT62" s="48"/>
      <c r="AU62" s="49">
        <f t="shared" si="35"/>
        <v>0</v>
      </c>
      <c r="AV62" s="50"/>
      <c r="AW62" s="48"/>
      <c r="AX62" s="48"/>
      <c r="AY62" s="48"/>
      <c r="AZ62" s="51"/>
      <c r="BA62" s="52"/>
      <c r="BB62" s="52"/>
      <c r="BC62" s="53"/>
    </row>
    <row r="63" spans="1:55" ht="17.25" customHeight="1" x14ac:dyDescent="0.2">
      <c r="A63" s="871"/>
      <c r="B63" s="874"/>
      <c r="C63" s="877"/>
      <c r="D63" s="880"/>
      <c r="E63" s="883"/>
      <c r="F63" s="886"/>
      <c r="G63" s="889"/>
      <c r="H63" s="892"/>
      <c r="I63" s="896"/>
      <c r="J63" s="897"/>
      <c r="K63" s="907"/>
      <c r="L63" s="910"/>
      <c r="M63" s="170"/>
      <c r="N63" s="171"/>
      <c r="O63" s="172"/>
      <c r="P63" s="100"/>
      <c r="Q63" s="100"/>
      <c r="R63" s="913"/>
      <c r="S63" s="101"/>
      <c r="T63" s="916"/>
      <c r="U63" s="102"/>
      <c r="V63" s="916"/>
      <c r="W63" s="102"/>
      <c r="X63" s="916"/>
      <c r="Y63" s="102"/>
      <c r="Z63" s="916"/>
      <c r="AA63" s="102"/>
      <c r="AB63" s="916"/>
      <c r="AC63" s="102"/>
      <c r="AD63" s="916"/>
      <c r="AE63" s="102"/>
      <c r="AF63" s="901"/>
      <c r="AG63" s="103"/>
      <c r="AH63" s="901"/>
      <c r="AI63" s="102"/>
      <c r="AJ63" s="905"/>
      <c r="AK63" s="99">
        <f t="shared" si="31"/>
        <v>0</v>
      </c>
      <c r="AL63" s="104"/>
      <c r="AM63" s="105"/>
      <c r="AN63" s="105"/>
      <c r="AO63" s="105"/>
      <c r="AP63" s="105"/>
      <c r="AQ63" s="105"/>
      <c r="AR63" s="49">
        <f t="shared" si="34"/>
        <v>0</v>
      </c>
      <c r="AS63" s="106"/>
      <c r="AT63" s="105"/>
      <c r="AU63" s="49">
        <f>SUM(AS63:AT63)</f>
        <v>0</v>
      </c>
      <c r="AV63" s="106"/>
      <c r="AW63" s="105"/>
      <c r="AX63" s="105"/>
      <c r="AY63" s="105"/>
      <c r="AZ63" s="107"/>
      <c r="BA63" s="108"/>
      <c r="BB63" s="108"/>
      <c r="BC63" s="109"/>
    </row>
    <row r="64" spans="1:55" ht="9.9499999999999993" customHeight="1" thickBot="1" x14ac:dyDescent="0.25">
      <c r="A64" s="872"/>
      <c r="B64" s="875"/>
      <c r="C64" s="878"/>
      <c r="D64" s="881"/>
      <c r="E64" s="884"/>
      <c r="F64" s="887"/>
      <c r="G64" s="890"/>
      <c r="H64" s="893"/>
      <c r="I64" s="898"/>
      <c r="J64" s="899"/>
      <c r="K64" s="908"/>
      <c r="L64" s="911"/>
      <c r="M64" s="173"/>
      <c r="N64" s="174"/>
      <c r="O64" s="175"/>
      <c r="P64" s="110"/>
      <c r="Q64" s="110"/>
      <c r="R64" s="914"/>
      <c r="S64" s="176"/>
      <c r="T64" s="917"/>
      <c r="U64" s="177"/>
      <c r="V64" s="917"/>
      <c r="W64" s="177"/>
      <c r="X64" s="917"/>
      <c r="Y64" s="177"/>
      <c r="Z64" s="917"/>
      <c r="AA64" s="177"/>
      <c r="AB64" s="917"/>
      <c r="AC64" s="177"/>
      <c r="AD64" s="917"/>
      <c r="AE64" s="177"/>
      <c r="AF64" s="902"/>
      <c r="AG64" s="178"/>
      <c r="AH64" s="902"/>
      <c r="AI64" s="177"/>
      <c r="AJ64" s="111"/>
      <c r="AK64" s="112"/>
      <c r="AL64" s="179"/>
      <c r="AM64" s="180"/>
      <c r="AN64" s="180"/>
      <c r="AO64" s="180"/>
      <c r="AP64" s="180"/>
      <c r="AQ64" s="180"/>
      <c r="AR64" s="113"/>
      <c r="AS64" s="181"/>
      <c r="AT64" s="180"/>
      <c r="AU64" s="113"/>
      <c r="AV64" s="181"/>
      <c r="AW64" s="180"/>
      <c r="AX64" s="180"/>
      <c r="AY64" s="180"/>
      <c r="AZ64" s="182"/>
      <c r="BA64" s="183"/>
      <c r="BB64" s="183"/>
      <c r="BC64" s="184"/>
    </row>
    <row r="65" spans="1:55" ht="6" customHeight="1" x14ac:dyDescent="0.2">
      <c r="A65" s="149"/>
      <c r="B65" s="185"/>
      <c r="C65" s="185"/>
      <c r="D65" s="185"/>
      <c r="E65" s="185"/>
      <c r="F65" s="185"/>
      <c r="G65" s="185"/>
      <c r="H65" s="185"/>
      <c r="I65" s="918"/>
      <c r="J65" s="918"/>
      <c r="K65" s="185"/>
      <c r="L65" s="185"/>
      <c r="M65" s="185"/>
      <c r="N65" s="185"/>
      <c r="O65" s="185"/>
      <c r="P65" s="185"/>
      <c r="Q65" s="185"/>
      <c r="R65" s="185"/>
      <c r="S65" s="185"/>
      <c r="T65" s="185"/>
      <c r="U65" s="185"/>
      <c r="V65" s="185"/>
      <c r="W65" s="185"/>
      <c r="X65" s="185"/>
      <c r="Y65" s="185"/>
      <c r="Z65" s="185"/>
      <c r="AA65" s="185"/>
      <c r="AB65" s="185"/>
      <c r="AC65" s="185"/>
      <c r="AD65" s="185"/>
      <c r="AE65" s="185"/>
      <c r="AF65" s="185"/>
      <c r="AG65" s="185"/>
      <c r="AH65" s="185"/>
      <c r="AI65" s="185"/>
      <c r="AJ65" s="185"/>
      <c r="AK65" s="186"/>
      <c r="AL65" s="186"/>
      <c r="AM65" s="186"/>
      <c r="AN65" s="186"/>
      <c r="AO65" s="186"/>
      <c r="AP65" s="186"/>
      <c r="AQ65" s="187"/>
      <c r="AR65" s="186"/>
      <c r="AS65" s="186"/>
      <c r="AT65" s="186"/>
      <c r="AU65" s="186"/>
      <c r="AV65" s="186"/>
      <c r="AW65" s="186"/>
      <c r="AX65" s="186"/>
      <c r="AY65" s="186"/>
      <c r="AZ65" s="186"/>
      <c r="BA65" s="186"/>
      <c r="BB65" s="186"/>
      <c r="BC65" s="149"/>
    </row>
    <row r="66" spans="1:55" ht="72" customHeight="1" x14ac:dyDescent="0.2">
      <c r="A66" s="870">
        <v>7</v>
      </c>
      <c r="B66" s="154" t="s">
        <v>1704</v>
      </c>
      <c r="C66" s="155" t="s">
        <v>1705</v>
      </c>
      <c r="D66" s="156" t="s">
        <v>21</v>
      </c>
      <c r="E66" s="156" t="s">
        <v>1890</v>
      </c>
      <c r="F66" s="155" t="s">
        <v>1706</v>
      </c>
      <c r="G66" s="157" t="s">
        <v>1679</v>
      </c>
      <c r="H66" s="157" t="s">
        <v>1680</v>
      </c>
      <c r="I66" s="158" t="s">
        <v>1906</v>
      </c>
      <c r="J66" s="159">
        <f>+$N$3</f>
        <v>2019</v>
      </c>
      <c r="K66" s="157" t="s">
        <v>1923</v>
      </c>
      <c r="L66" s="158" t="s">
        <v>1951</v>
      </c>
      <c r="M66" s="155" t="s">
        <v>1707</v>
      </c>
      <c r="N66" s="155" t="s">
        <v>1708</v>
      </c>
      <c r="O66" s="155" t="s">
        <v>1709</v>
      </c>
      <c r="P66" s="155" t="s">
        <v>1961</v>
      </c>
      <c r="Q66" s="155" t="s">
        <v>1952</v>
      </c>
      <c r="R66" s="160">
        <f>SUM(R67:R73)</f>
        <v>0</v>
      </c>
      <c r="S66" s="161">
        <f t="shared" ref="S66:AK66" si="36">SUM(S67:S73)</f>
        <v>0</v>
      </c>
      <c r="T66" s="162">
        <f t="shared" si="36"/>
        <v>0</v>
      </c>
      <c r="U66" s="163">
        <f t="shared" si="36"/>
        <v>0</v>
      </c>
      <c r="V66" s="162">
        <f t="shared" si="36"/>
        <v>0</v>
      </c>
      <c r="W66" s="163">
        <f t="shared" si="36"/>
        <v>0</v>
      </c>
      <c r="X66" s="162">
        <f t="shared" si="36"/>
        <v>0</v>
      </c>
      <c r="Y66" s="163">
        <f t="shared" si="36"/>
        <v>0</v>
      </c>
      <c r="Z66" s="162">
        <f t="shared" si="36"/>
        <v>5934639217</v>
      </c>
      <c r="AA66" s="163">
        <f t="shared" si="36"/>
        <v>4648215107</v>
      </c>
      <c r="AB66" s="162">
        <f t="shared" si="36"/>
        <v>0</v>
      </c>
      <c r="AC66" s="163">
        <f t="shared" si="36"/>
        <v>0</v>
      </c>
      <c r="AD66" s="162">
        <f t="shared" si="36"/>
        <v>0</v>
      </c>
      <c r="AE66" s="163">
        <f t="shared" si="36"/>
        <v>0</v>
      </c>
      <c r="AF66" s="162">
        <f t="shared" si="36"/>
        <v>0</v>
      </c>
      <c r="AG66" s="164">
        <f t="shared" si="36"/>
        <v>0</v>
      </c>
      <c r="AH66" s="162">
        <f t="shared" si="36"/>
        <v>0</v>
      </c>
      <c r="AI66" s="163">
        <f t="shared" si="36"/>
        <v>0</v>
      </c>
      <c r="AJ66" s="165">
        <f t="shared" si="36"/>
        <v>5934639217</v>
      </c>
      <c r="AK66" s="166">
        <f t="shared" si="36"/>
        <v>4648215107</v>
      </c>
      <c r="AL66" s="849"/>
      <c r="AM66" s="850"/>
      <c r="AN66" s="850"/>
      <c r="AO66" s="850"/>
      <c r="AP66" s="850"/>
      <c r="AQ66" s="850"/>
      <c r="AR66" s="851"/>
      <c r="AS66" s="852"/>
      <c r="AT66" s="850"/>
      <c r="AU66" s="851"/>
      <c r="AV66" s="852"/>
      <c r="AW66" s="850"/>
      <c r="AX66" s="850"/>
      <c r="AY66" s="850"/>
      <c r="AZ66" s="853"/>
      <c r="BA66" s="41" t="s">
        <v>1685</v>
      </c>
      <c r="BB66" s="41" t="s">
        <v>1954</v>
      </c>
      <c r="BC66" s="42" t="s">
        <v>1686</v>
      </c>
    </row>
    <row r="67" spans="1:55" ht="17.25" customHeight="1" x14ac:dyDescent="0.2">
      <c r="A67" s="871"/>
      <c r="B67" s="873" t="str">
        <f>VLOOKUP($D$9,'PROYECTOS REGISTRADOS'!$A$2:$D$82,4,0)</f>
        <v>Construcción y mantenimiento de infraestructura municipal Tocancipá, Cundinamarca, Centro Oriente</v>
      </c>
      <c r="C67" s="876" t="str">
        <f>VLOOKUP($D$9,'PROYECTOS REGISTRADOS'!$A$2:$D$82,3,0)</f>
        <v>2016-25817-0036</v>
      </c>
      <c r="D67" s="879" t="s">
        <v>1022</v>
      </c>
      <c r="E67" s="882" t="str">
        <f>IF(D67=0,"0-0",(VLOOKUP(D67,'CONSOLIDADO PLAN DESARROLLO'!$EL$9:$ET$304,2,0)))</f>
        <v>Realizar la construcción y ampliación del hospital municipal</v>
      </c>
      <c r="F67" s="885" t="str">
        <f>IF(D67=0,"0-0",(VLOOKUP(D67,'CONSOLIDADO PLAN DESARROLLO'!$EL$9:$ET$304,3,0)))</f>
        <v>infraestructuras construidas o ampliadas</v>
      </c>
      <c r="G67" s="888">
        <f>IF(D67=0,"0-0",(VLOOKUP(D67,'CONSOLIDADO PLAN DESARROLLO'!$EL$9:$ET$304,4,0)))</f>
        <v>0.6</v>
      </c>
      <c r="H67" s="891">
        <f>IF(D67=0,"0-0",(VLOOKUP(D67,'CONSOLIDADO PLAN DESARROLLO'!$EL$9:$ET$304,5,0)))</f>
        <v>1</v>
      </c>
      <c r="I67" s="894">
        <f>IF(D67=0,"0-0",(VLOOKUP(D67,'CONSOLIDADO PLAN DESARROLLO'!$EL$9:$ET$304,$R$3,0)))</f>
        <v>0</v>
      </c>
      <c r="J67" s="895"/>
      <c r="K67" s="906">
        <v>1</v>
      </c>
      <c r="L67" s="909">
        <v>1</v>
      </c>
      <c r="M67" s="797" t="s">
        <v>1932</v>
      </c>
      <c r="N67" s="798" t="s">
        <v>1928</v>
      </c>
      <c r="O67" s="800">
        <v>0</v>
      </c>
      <c r="P67" s="43">
        <v>0</v>
      </c>
      <c r="Q67" s="43">
        <v>0</v>
      </c>
      <c r="R67" s="912">
        <f>VLOOKUP($D67,'[4]Tablero Logro Metas 2019'!$AK$7:$AS$302,3,0)</f>
        <v>0</v>
      </c>
      <c r="S67" s="44">
        <v>0</v>
      </c>
      <c r="T67" s="915">
        <f>VLOOKUP($D67,'[4]Tablero Logro Metas 2019'!$AK$7:$AS$302,4,0)</f>
        <v>0</v>
      </c>
      <c r="U67" s="44">
        <v>0</v>
      </c>
      <c r="V67" s="915">
        <f>VLOOKUP($D67,'[4]Tablero Logro Metas 2019'!$AK$7:$AS$302,5,0)</f>
        <v>0</v>
      </c>
      <c r="W67" s="44">
        <v>0</v>
      </c>
      <c r="X67" s="915">
        <f>VLOOKUP($D67,'[4]Tablero Logro Metas 2019'!$AK$7:$AS$302,6,0)</f>
        <v>0</v>
      </c>
      <c r="Y67" s="44">
        <v>0</v>
      </c>
      <c r="Z67" s="915">
        <f>VLOOKUP($D67,'[4]Tablero Logro Metas 2019'!$AK$7:$AS$302,7,0)</f>
        <v>5934639217</v>
      </c>
      <c r="AA67" s="45">
        <v>0</v>
      </c>
      <c r="AB67" s="915">
        <f>VLOOKUP($D67,'[4]Tablero Logro Metas 2019'!$AK$7:$AS$302,8,0)</f>
        <v>0</v>
      </c>
      <c r="AC67" s="45">
        <v>0</v>
      </c>
      <c r="AD67" s="915">
        <f>VLOOKUP($D67,'[4]Tablero Logro Metas 2019'!$AK$7:$AS$302,9,0)</f>
        <v>0</v>
      </c>
      <c r="AE67" s="44">
        <v>0</v>
      </c>
      <c r="AF67" s="900"/>
      <c r="AG67" s="44">
        <v>0</v>
      </c>
      <c r="AH67" s="900"/>
      <c r="AI67" s="45">
        <v>0</v>
      </c>
      <c r="AJ67" s="903">
        <f>+R67+T67+V67+X67+Z67+AB67+AD67+AF67+AH67</f>
        <v>5934639217</v>
      </c>
      <c r="AK67" s="99">
        <f t="shared" ref="AK67:AK72" si="37">AC67+AE67+AG67+S67+U67+W67+Y67+AA67+AI67</f>
        <v>0</v>
      </c>
      <c r="AL67" s="47">
        <v>0</v>
      </c>
      <c r="AM67" s="48">
        <v>0</v>
      </c>
      <c r="AN67" s="48">
        <v>0</v>
      </c>
      <c r="AO67" s="48">
        <v>0</v>
      </c>
      <c r="AP67" s="48">
        <v>0</v>
      </c>
      <c r="AQ67" s="48">
        <v>0</v>
      </c>
      <c r="AR67" s="49">
        <f t="shared" ref="AR67" si="38">SUM(AL67:AQ67)</f>
        <v>0</v>
      </c>
      <c r="AS67" s="50">
        <v>0</v>
      </c>
      <c r="AT67" s="48">
        <v>0</v>
      </c>
      <c r="AU67" s="49">
        <f t="shared" ref="AU67" si="39">SUM(AS67:AT67)</f>
        <v>0</v>
      </c>
      <c r="AV67" s="50">
        <v>0</v>
      </c>
      <c r="AW67" s="48">
        <v>0</v>
      </c>
      <c r="AX67" s="48">
        <v>0</v>
      </c>
      <c r="AY67" s="48">
        <v>0</v>
      </c>
      <c r="AZ67" s="51">
        <v>0</v>
      </c>
      <c r="BA67" s="52"/>
      <c r="BB67" s="52"/>
      <c r="BC67" s="53" t="s">
        <v>1964</v>
      </c>
    </row>
    <row r="68" spans="1:55" ht="17.25" customHeight="1" x14ac:dyDescent="0.2">
      <c r="A68" s="871"/>
      <c r="B68" s="873"/>
      <c r="C68" s="876"/>
      <c r="D68" s="879"/>
      <c r="E68" s="883"/>
      <c r="F68" s="885"/>
      <c r="G68" s="888"/>
      <c r="H68" s="891"/>
      <c r="I68" s="896"/>
      <c r="J68" s="897"/>
      <c r="K68" s="906"/>
      <c r="L68" s="910"/>
      <c r="M68" s="797" t="s">
        <v>1939</v>
      </c>
      <c r="N68" s="798" t="s">
        <v>1928</v>
      </c>
      <c r="O68" s="800">
        <v>1</v>
      </c>
      <c r="P68" s="43">
        <v>1</v>
      </c>
      <c r="Q68" s="43">
        <v>1</v>
      </c>
      <c r="R68" s="913"/>
      <c r="S68" s="44">
        <v>0</v>
      </c>
      <c r="T68" s="916"/>
      <c r="U68" s="44">
        <v>0</v>
      </c>
      <c r="V68" s="916"/>
      <c r="W68" s="44">
        <v>0</v>
      </c>
      <c r="X68" s="916"/>
      <c r="Y68" s="44">
        <v>0</v>
      </c>
      <c r="Z68" s="916"/>
      <c r="AA68" s="45">
        <v>303918572</v>
      </c>
      <c r="AB68" s="916"/>
      <c r="AC68" s="45">
        <v>0</v>
      </c>
      <c r="AD68" s="916"/>
      <c r="AE68" s="44">
        <v>0</v>
      </c>
      <c r="AF68" s="901"/>
      <c r="AG68" s="44">
        <v>0</v>
      </c>
      <c r="AH68" s="901"/>
      <c r="AI68" s="45">
        <v>0</v>
      </c>
      <c r="AJ68" s="904"/>
      <c r="AK68" s="99">
        <f t="shared" si="37"/>
        <v>303918572</v>
      </c>
      <c r="AL68" s="47">
        <v>2504</v>
      </c>
      <c r="AM68" s="48">
        <v>3905</v>
      </c>
      <c r="AN68" s="48">
        <v>4211</v>
      </c>
      <c r="AO68" s="48">
        <v>8222</v>
      </c>
      <c r="AP68" s="48">
        <v>15646</v>
      </c>
      <c r="AQ68" s="48">
        <v>2553</v>
      </c>
      <c r="AR68" s="49">
        <f t="shared" ref="AR68:AR72" si="40">SUM(AL68:AQ68)</f>
        <v>37041</v>
      </c>
      <c r="AS68" s="50">
        <v>17873</v>
      </c>
      <c r="AT68" s="48">
        <v>19168</v>
      </c>
      <c r="AU68" s="49">
        <f t="shared" ref="AU68:AU71" si="41">SUM(AS68:AT68)</f>
        <v>37041</v>
      </c>
      <c r="AV68" s="50"/>
      <c r="AW68" s="48"/>
      <c r="AX68" s="48">
        <v>851</v>
      </c>
      <c r="AY68" s="48"/>
      <c r="AZ68" s="51"/>
      <c r="BA68" s="52"/>
      <c r="BB68" s="52"/>
      <c r="BC68" s="53" t="s">
        <v>1964</v>
      </c>
    </row>
    <row r="69" spans="1:55" ht="17.25" customHeight="1" x14ac:dyDescent="0.2">
      <c r="A69" s="871"/>
      <c r="B69" s="873"/>
      <c r="C69" s="876"/>
      <c r="D69" s="879"/>
      <c r="E69" s="883"/>
      <c r="F69" s="885"/>
      <c r="G69" s="888"/>
      <c r="H69" s="891"/>
      <c r="I69" s="896"/>
      <c r="J69" s="897"/>
      <c r="K69" s="906"/>
      <c r="L69" s="910"/>
      <c r="M69" s="797" t="s">
        <v>1934</v>
      </c>
      <c r="N69" s="798" t="s">
        <v>1928</v>
      </c>
      <c r="O69" s="800">
        <v>1</v>
      </c>
      <c r="P69" s="43">
        <v>1</v>
      </c>
      <c r="Q69" s="43">
        <v>1</v>
      </c>
      <c r="R69" s="913"/>
      <c r="S69" s="44">
        <v>0</v>
      </c>
      <c r="T69" s="916"/>
      <c r="U69" s="44">
        <v>0</v>
      </c>
      <c r="V69" s="916"/>
      <c r="W69" s="44">
        <v>0</v>
      </c>
      <c r="X69" s="916"/>
      <c r="Y69" s="44">
        <v>0</v>
      </c>
      <c r="Z69" s="916"/>
      <c r="AA69" s="45">
        <v>4344296535</v>
      </c>
      <c r="AB69" s="916"/>
      <c r="AC69" s="45">
        <v>0</v>
      </c>
      <c r="AD69" s="916"/>
      <c r="AE69" s="44">
        <v>0</v>
      </c>
      <c r="AF69" s="901"/>
      <c r="AG69" s="44">
        <v>0</v>
      </c>
      <c r="AH69" s="901"/>
      <c r="AI69" s="45">
        <v>0</v>
      </c>
      <c r="AJ69" s="904"/>
      <c r="AK69" s="99">
        <f t="shared" si="37"/>
        <v>4344296535</v>
      </c>
      <c r="AL69" s="47">
        <v>2504</v>
      </c>
      <c r="AM69" s="48">
        <v>3905</v>
      </c>
      <c r="AN69" s="48">
        <v>4211</v>
      </c>
      <c r="AO69" s="48">
        <v>8222</v>
      </c>
      <c r="AP69" s="48">
        <v>15646</v>
      </c>
      <c r="AQ69" s="48">
        <v>2553</v>
      </c>
      <c r="AR69" s="49">
        <f t="shared" si="40"/>
        <v>37041</v>
      </c>
      <c r="AS69" s="50">
        <v>17873</v>
      </c>
      <c r="AT69" s="48">
        <v>19168</v>
      </c>
      <c r="AU69" s="49">
        <f t="shared" si="41"/>
        <v>37041</v>
      </c>
      <c r="AV69" s="50"/>
      <c r="AW69" s="48"/>
      <c r="AX69" s="48">
        <v>851</v>
      </c>
      <c r="AY69" s="48"/>
      <c r="AZ69" s="51"/>
      <c r="BA69" s="52"/>
      <c r="BB69" s="52"/>
      <c r="BC69" s="53" t="s">
        <v>1964</v>
      </c>
    </row>
    <row r="70" spans="1:55" ht="17.25" customHeight="1" x14ac:dyDescent="0.2">
      <c r="A70" s="871"/>
      <c r="B70" s="873"/>
      <c r="C70" s="876"/>
      <c r="D70" s="879"/>
      <c r="E70" s="883"/>
      <c r="F70" s="885"/>
      <c r="G70" s="888"/>
      <c r="H70" s="891"/>
      <c r="I70" s="896"/>
      <c r="J70" s="897"/>
      <c r="K70" s="906"/>
      <c r="L70" s="910"/>
      <c r="M70" s="167"/>
      <c r="N70" s="168"/>
      <c r="O70" s="169"/>
      <c r="P70" s="43"/>
      <c r="Q70" s="43"/>
      <c r="R70" s="913"/>
      <c r="S70" s="44"/>
      <c r="T70" s="916"/>
      <c r="U70" s="45"/>
      <c r="V70" s="916"/>
      <c r="W70" s="45"/>
      <c r="X70" s="916"/>
      <c r="Y70" s="45"/>
      <c r="Z70" s="916"/>
      <c r="AA70" s="45"/>
      <c r="AB70" s="916"/>
      <c r="AC70" s="45"/>
      <c r="AD70" s="916"/>
      <c r="AE70" s="45"/>
      <c r="AF70" s="901"/>
      <c r="AG70" s="46"/>
      <c r="AH70" s="901"/>
      <c r="AI70" s="45"/>
      <c r="AJ70" s="904"/>
      <c r="AK70" s="99">
        <f t="shared" si="37"/>
        <v>0</v>
      </c>
      <c r="AL70" s="47"/>
      <c r="AM70" s="48"/>
      <c r="AN70" s="48"/>
      <c r="AO70" s="48"/>
      <c r="AP70" s="48"/>
      <c r="AQ70" s="48"/>
      <c r="AR70" s="49">
        <f t="shared" si="40"/>
        <v>0</v>
      </c>
      <c r="AS70" s="50"/>
      <c r="AT70" s="48"/>
      <c r="AU70" s="49">
        <f t="shared" si="41"/>
        <v>0</v>
      </c>
      <c r="AV70" s="50"/>
      <c r="AW70" s="48"/>
      <c r="AX70" s="48"/>
      <c r="AY70" s="48"/>
      <c r="AZ70" s="51"/>
      <c r="BA70" s="52"/>
      <c r="BB70" s="52"/>
      <c r="BC70" s="53"/>
    </row>
    <row r="71" spans="1:55" ht="17.25" customHeight="1" x14ac:dyDescent="0.2">
      <c r="A71" s="871"/>
      <c r="B71" s="873"/>
      <c r="C71" s="876"/>
      <c r="D71" s="879"/>
      <c r="E71" s="883"/>
      <c r="F71" s="885"/>
      <c r="G71" s="888"/>
      <c r="H71" s="891"/>
      <c r="I71" s="896"/>
      <c r="J71" s="897"/>
      <c r="K71" s="906"/>
      <c r="L71" s="910"/>
      <c r="M71" s="167"/>
      <c r="N71" s="168"/>
      <c r="O71" s="169"/>
      <c r="P71" s="43"/>
      <c r="Q71" s="43"/>
      <c r="R71" s="913"/>
      <c r="S71" s="44"/>
      <c r="T71" s="916"/>
      <c r="U71" s="45"/>
      <c r="V71" s="916"/>
      <c r="W71" s="45"/>
      <c r="X71" s="916"/>
      <c r="Y71" s="45"/>
      <c r="Z71" s="916"/>
      <c r="AA71" s="45"/>
      <c r="AB71" s="916"/>
      <c r="AC71" s="45"/>
      <c r="AD71" s="916"/>
      <c r="AE71" s="45"/>
      <c r="AF71" s="901"/>
      <c r="AG71" s="46"/>
      <c r="AH71" s="901"/>
      <c r="AI71" s="45"/>
      <c r="AJ71" s="904"/>
      <c r="AK71" s="99">
        <f t="shared" si="37"/>
        <v>0</v>
      </c>
      <c r="AL71" s="47"/>
      <c r="AM71" s="48"/>
      <c r="AN71" s="48"/>
      <c r="AO71" s="48"/>
      <c r="AP71" s="48"/>
      <c r="AQ71" s="48"/>
      <c r="AR71" s="49">
        <f t="shared" si="40"/>
        <v>0</v>
      </c>
      <c r="AS71" s="50"/>
      <c r="AT71" s="48"/>
      <c r="AU71" s="49">
        <f t="shared" si="41"/>
        <v>0</v>
      </c>
      <c r="AV71" s="50"/>
      <c r="AW71" s="48"/>
      <c r="AX71" s="48"/>
      <c r="AY71" s="48"/>
      <c r="AZ71" s="51"/>
      <c r="BA71" s="52"/>
      <c r="BB71" s="52"/>
      <c r="BC71" s="53"/>
    </row>
    <row r="72" spans="1:55" ht="17.25" customHeight="1" x14ac:dyDescent="0.2">
      <c r="A72" s="871"/>
      <c r="B72" s="874"/>
      <c r="C72" s="877"/>
      <c r="D72" s="880"/>
      <c r="E72" s="883"/>
      <c r="F72" s="886"/>
      <c r="G72" s="889"/>
      <c r="H72" s="892"/>
      <c r="I72" s="896"/>
      <c r="J72" s="897"/>
      <c r="K72" s="907"/>
      <c r="L72" s="910"/>
      <c r="M72" s="170"/>
      <c r="N72" s="171"/>
      <c r="O72" s="172"/>
      <c r="P72" s="100"/>
      <c r="Q72" s="100"/>
      <c r="R72" s="913"/>
      <c r="S72" s="101"/>
      <c r="T72" s="916"/>
      <c r="U72" s="102"/>
      <c r="V72" s="916"/>
      <c r="W72" s="102"/>
      <c r="X72" s="916"/>
      <c r="Y72" s="102"/>
      <c r="Z72" s="916"/>
      <c r="AA72" s="102"/>
      <c r="AB72" s="916"/>
      <c r="AC72" s="102"/>
      <c r="AD72" s="916"/>
      <c r="AE72" s="102"/>
      <c r="AF72" s="901"/>
      <c r="AG72" s="103"/>
      <c r="AH72" s="901"/>
      <c r="AI72" s="102"/>
      <c r="AJ72" s="905"/>
      <c r="AK72" s="99">
        <f t="shared" si="37"/>
        <v>0</v>
      </c>
      <c r="AL72" s="104"/>
      <c r="AM72" s="105"/>
      <c r="AN72" s="105"/>
      <c r="AO72" s="105"/>
      <c r="AP72" s="105"/>
      <c r="AQ72" s="105"/>
      <c r="AR72" s="49">
        <f t="shared" si="40"/>
        <v>0</v>
      </c>
      <c r="AS72" s="106"/>
      <c r="AT72" s="105"/>
      <c r="AU72" s="49">
        <f>SUM(AS72:AT72)</f>
        <v>0</v>
      </c>
      <c r="AV72" s="106"/>
      <c r="AW72" s="105"/>
      <c r="AX72" s="105"/>
      <c r="AY72" s="105"/>
      <c r="AZ72" s="107"/>
      <c r="BA72" s="108"/>
      <c r="BB72" s="108"/>
      <c r="BC72" s="109"/>
    </row>
    <row r="73" spans="1:55" ht="9.9499999999999993" customHeight="1" thickBot="1" x14ac:dyDescent="0.25">
      <c r="A73" s="872"/>
      <c r="B73" s="875"/>
      <c r="C73" s="878"/>
      <c r="D73" s="881"/>
      <c r="E73" s="884"/>
      <c r="F73" s="887"/>
      <c r="G73" s="890"/>
      <c r="H73" s="893"/>
      <c r="I73" s="898"/>
      <c r="J73" s="899"/>
      <c r="K73" s="908"/>
      <c r="L73" s="911"/>
      <c r="M73" s="173"/>
      <c r="N73" s="174"/>
      <c r="O73" s="175"/>
      <c r="P73" s="110"/>
      <c r="Q73" s="110"/>
      <c r="R73" s="914"/>
      <c r="S73" s="176"/>
      <c r="T73" s="917"/>
      <c r="U73" s="177"/>
      <c r="V73" s="917"/>
      <c r="W73" s="177"/>
      <c r="X73" s="917"/>
      <c r="Y73" s="177"/>
      <c r="Z73" s="917"/>
      <c r="AA73" s="177"/>
      <c r="AB73" s="917"/>
      <c r="AC73" s="177"/>
      <c r="AD73" s="917"/>
      <c r="AE73" s="177"/>
      <c r="AF73" s="902"/>
      <c r="AG73" s="178"/>
      <c r="AH73" s="902"/>
      <c r="AI73" s="177"/>
      <c r="AJ73" s="111"/>
      <c r="AK73" s="112"/>
      <c r="AL73" s="179"/>
      <c r="AM73" s="180"/>
      <c r="AN73" s="180"/>
      <c r="AO73" s="180"/>
      <c r="AP73" s="180"/>
      <c r="AQ73" s="180"/>
      <c r="AR73" s="113"/>
      <c r="AS73" s="181"/>
      <c r="AT73" s="180"/>
      <c r="AU73" s="113"/>
      <c r="AV73" s="181"/>
      <c r="AW73" s="180"/>
      <c r="AX73" s="180"/>
      <c r="AY73" s="180"/>
      <c r="AZ73" s="182"/>
      <c r="BA73" s="183"/>
      <c r="BB73" s="183"/>
      <c r="BC73" s="184"/>
    </row>
    <row r="74" spans="1:55" ht="6" customHeight="1" x14ac:dyDescent="0.2">
      <c r="A74" s="149"/>
      <c r="B74" s="185"/>
      <c r="C74" s="185"/>
      <c r="D74" s="185"/>
      <c r="E74" s="185"/>
      <c r="F74" s="185"/>
      <c r="G74" s="185"/>
      <c r="H74" s="185"/>
      <c r="I74" s="918"/>
      <c r="J74" s="918"/>
      <c r="K74" s="185"/>
      <c r="L74" s="185"/>
      <c r="M74" s="185"/>
      <c r="N74" s="185"/>
      <c r="O74" s="185"/>
      <c r="P74" s="185"/>
      <c r="Q74" s="185"/>
      <c r="R74" s="185"/>
      <c r="S74" s="185"/>
      <c r="T74" s="185"/>
      <c r="U74" s="185"/>
      <c r="V74" s="185"/>
      <c r="W74" s="185"/>
      <c r="X74" s="185"/>
      <c r="Y74" s="185"/>
      <c r="Z74" s="185"/>
      <c r="AA74" s="185"/>
      <c r="AB74" s="185"/>
      <c r="AC74" s="185"/>
      <c r="AD74" s="185"/>
      <c r="AE74" s="185"/>
      <c r="AF74" s="185"/>
      <c r="AG74" s="185"/>
      <c r="AH74" s="185"/>
      <c r="AI74" s="185"/>
      <c r="AJ74" s="185"/>
      <c r="AK74" s="186"/>
      <c r="AL74" s="186"/>
      <c r="AM74" s="186"/>
      <c r="AN74" s="186"/>
      <c r="AO74" s="186"/>
      <c r="AP74" s="186"/>
      <c r="AQ74" s="187"/>
      <c r="AR74" s="186"/>
      <c r="AS74" s="186"/>
      <c r="AT74" s="186"/>
      <c r="AU74" s="186"/>
      <c r="AV74" s="186"/>
      <c r="AW74" s="186"/>
      <c r="AX74" s="186"/>
      <c r="AY74" s="186"/>
      <c r="AZ74" s="186"/>
      <c r="BA74" s="186"/>
      <c r="BB74" s="186"/>
      <c r="BC74" s="149"/>
    </row>
    <row r="75" spans="1:55" ht="72" customHeight="1" x14ac:dyDescent="0.2">
      <c r="A75" s="870">
        <v>8</v>
      </c>
      <c r="B75" s="154" t="s">
        <v>1704</v>
      </c>
      <c r="C75" s="155" t="s">
        <v>1705</v>
      </c>
      <c r="D75" s="156" t="s">
        <v>21</v>
      </c>
      <c r="E75" s="156" t="s">
        <v>1890</v>
      </c>
      <c r="F75" s="155" t="s">
        <v>1706</v>
      </c>
      <c r="G75" s="157" t="s">
        <v>1679</v>
      </c>
      <c r="H75" s="157" t="s">
        <v>1680</v>
      </c>
      <c r="I75" s="158" t="s">
        <v>1906</v>
      </c>
      <c r="J75" s="159">
        <f>+$N$3</f>
        <v>2019</v>
      </c>
      <c r="K75" s="157" t="s">
        <v>1923</v>
      </c>
      <c r="L75" s="158" t="s">
        <v>1951</v>
      </c>
      <c r="M75" s="155" t="s">
        <v>1707</v>
      </c>
      <c r="N75" s="155" t="s">
        <v>1708</v>
      </c>
      <c r="O75" s="155" t="s">
        <v>1709</v>
      </c>
      <c r="P75" s="155" t="s">
        <v>1961</v>
      </c>
      <c r="Q75" s="155" t="s">
        <v>1952</v>
      </c>
      <c r="R75" s="160">
        <f>SUM(R76:R82)</f>
        <v>0</v>
      </c>
      <c r="S75" s="161">
        <f t="shared" ref="S75:AK75" si="42">SUM(S76:S82)</f>
        <v>0</v>
      </c>
      <c r="T75" s="162">
        <f t="shared" si="42"/>
        <v>0</v>
      </c>
      <c r="U75" s="163">
        <f t="shared" si="42"/>
        <v>0</v>
      </c>
      <c r="V75" s="162">
        <f t="shared" si="42"/>
        <v>0</v>
      </c>
      <c r="W75" s="163">
        <f t="shared" si="42"/>
        <v>0</v>
      </c>
      <c r="X75" s="162">
        <f t="shared" si="42"/>
        <v>0</v>
      </c>
      <c r="Y75" s="163">
        <f t="shared" si="42"/>
        <v>0</v>
      </c>
      <c r="Z75" s="162">
        <f t="shared" si="42"/>
        <v>0</v>
      </c>
      <c r="AA75" s="163">
        <f t="shared" si="42"/>
        <v>0</v>
      </c>
      <c r="AB75" s="162">
        <f t="shared" si="42"/>
        <v>0</v>
      </c>
      <c r="AC75" s="163">
        <f t="shared" si="42"/>
        <v>0</v>
      </c>
      <c r="AD75" s="162">
        <f t="shared" si="42"/>
        <v>0</v>
      </c>
      <c r="AE75" s="163">
        <f t="shared" si="42"/>
        <v>0</v>
      </c>
      <c r="AF75" s="162">
        <f t="shared" si="42"/>
        <v>0</v>
      </c>
      <c r="AG75" s="164">
        <f t="shared" si="42"/>
        <v>0</v>
      </c>
      <c r="AH75" s="162">
        <f t="shared" si="42"/>
        <v>0</v>
      </c>
      <c r="AI75" s="163">
        <f t="shared" si="42"/>
        <v>0</v>
      </c>
      <c r="AJ75" s="165">
        <f t="shared" si="42"/>
        <v>0</v>
      </c>
      <c r="AK75" s="166">
        <f t="shared" si="42"/>
        <v>0</v>
      </c>
      <c r="AL75" s="849"/>
      <c r="AM75" s="850"/>
      <c r="AN75" s="850"/>
      <c r="AO75" s="850"/>
      <c r="AP75" s="850"/>
      <c r="AQ75" s="850"/>
      <c r="AR75" s="851"/>
      <c r="AS75" s="852"/>
      <c r="AT75" s="850"/>
      <c r="AU75" s="851"/>
      <c r="AV75" s="852"/>
      <c r="AW75" s="850"/>
      <c r="AX75" s="850"/>
      <c r="AY75" s="850"/>
      <c r="AZ75" s="853"/>
      <c r="BA75" s="41" t="s">
        <v>1685</v>
      </c>
      <c r="BB75" s="41" t="s">
        <v>1954</v>
      </c>
      <c r="BC75" s="42" t="s">
        <v>1686</v>
      </c>
    </row>
    <row r="76" spans="1:55" ht="22.5" customHeight="1" x14ac:dyDescent="0.2">
      <c r="A76" s="871"/>
      <c r="B76" s="873" t="str">
        <f>VLOOKUP($D$9,'PROYECTOS REGISTRADOS'!$A$2:$D$82,4,0)</f>
        <v>Construcción y mantenimiento de infraestructura municipal Tocancipá, Cundinamarca, Centro Oriente</v>
      </c>
      <c r="C76" s="876" t="str">
        <f>VLOOKUP($D$9,'PROYECTOS REGISTRADOS'!$A$2:$D$82,3,0)</f>
        <v>2016-25817-0036</v>
      </c>
      <c r="D76" s="879" t="s">
        <v>1025</v>
      </c>
      <c r="E76" s="882" t="str">
        <f>IF(D76=0,"0-0",(VLOOKUP(D76,'CONSOLIDADO PLAN DESARROLLO'!$EL$9:$ET$304,2,0)))</f>
        <v>Realizar el mantenimiento de infraestructura hospitalaria</v>
      </c>
      <c r="F76" s="885" t="str">
        <f>IF(D76=0,"0-0",(VLOOKUP(D76,'CONSOLIDADO PLAN DESARROLLO'!$EL$9:$ET$304,3,0)))</f>
        <v>infraestructuras mantenidas</v>
      </c>
      <c r="G76" s="888">
        <f>IF(D76=0,"0-0",(VLOOKUP(D76,'CONSOLIDADO PLAN DESARROLLO'!$EL$9:$ET$304,4,0)))</f>
        <v>1</v>
      </c>
      <c r="H76" s="891">
        <f>IF(D76=0,"0-0",(VLOOKUP(D76,'CONSOLIDADO PLAN DESARROLLO'!$EL$9:$ET$304,5,0)))</f>
        <v>1</v>
      </c>
      <c r="I76" s="894">
        <f>IF(D76=0,"0-0",(VLOOKUP(D76,'CONSOLIDADO PLAN DESARROLLO'!$EL$9:$ET$304,$R$3,0)))</f>
        <v>0.5</v>
      </c>
      <c r="J76" s="895"/>
      <c r="K76" s="906">
        <v>0</v>
      </c>
      <c r="L76" s="909">
        <v>0</v>
      </c>
      <c r="M76" s="799" t="s">
        <v>1942</v>
      </c>
      <c r="N76" s="798" t="s">
        <v>1928</v>
      </c>
      <c r="O76" s="800">
        <v>1</v>
      </c>
      <c r="P76" s="43">
        <v>0</v>
      </c>
      <c r="Q76" s="43">
        <v>0</v>
      </c>
      <c r="R76" s="912">
        <f>VLOOKUP($D76,'[4]Tablero Logro Metas 2019'!$AK$7:$AS$302,3,0)</f>
        <v>0</v>
      </c>
      <c r="S76" s="44">
        <v>0</v>
      </c>
      <c r="T76" s="915">
        <f>VLOOKUP($D76,'[4]Tablero Logro Metas 2019'!$AK$7:$AS$302,4,0)</f>
        <v>0</v>
      </c>
      <c r="U76" s="44">
        <v>0</v>
      </c>
      <c r="V76" s="915">
        <f>VLOOKUP($D76,'[4]Tablero Logro Metas 2019'!$AK$7:$AS$302,5,0)</f>
        <v>0</v>
      </c>
      <c r="W76" s="44">
        <v>0</v>
      </c>
      <c r="X76" s="915">
        <f>VLOOKUP($D76,'[4]Tablero Logro Metas 2019'!$AK$7:$AS$302,6,0)</f>
        <v>0</v>
      </c>
      <c r="Y76" s="44">
        <v>0</v>
      </c>
      <c r="Z76" s="915">
        <f>VLOOKUP($D76,'[4]Tablero Logro Metas 2019'!$AK$7:$AS$302,7,0)</f>
        <v>0</v>
      </c>
      <c r="AA76" s="45">
        <v>0</v>
      </c>
      <c r="AB76" s="915">
        <f>VLOOKUP($D76,'[4]Tablero Logro Metas 2019'!$AK$7:$AS$302,8,0)</f>
        <v>0</v>
      </c>
      <c r="AC76" s="44">
        <v>0</v>
      </c>
      <c r="AD76" s="915">
        <f>VLOOKUP($D76,'[4]Tablero Logro Metas 2019'!$AK$7:$AS$302,9,0)</f>
        <v>0</v>
      </c>
      <c r="AE76" s="44">
        <v>0</v>
      </c>
      <c r="AF76" s="900"/>
      <c r="AG76" s="44">
        <v>0</v>
      </c>
      <c r="AH76" s="900"/>
      <c r="AI76" s="44">
        <v>0</v>
      </c>
      <c r="AJ76" s="903">
        <f>+R76+T76+V76+X76+Z76+AB76+AD76+AF76+AH76</f>
        <v>0</v>
      </c>
      <c r="AK76" s="99">
        <f t="shared" ref="AK76:AK81" si="43">AC76+AE76+AG76+S76+U76+W76+Y76+AA76+AI76</f>
        <v>0</v>
      </c>
      <c r="AL76" s="47">
        <v>0</v>
      </c>
      <c r="AM76" s="48">
        <v>0</v>
      </c>
      <c r="AN76" s="48">
        <v>0</v>
      </c>
      <c r="AO76" s="48">
        <v>0</v>
      </c>
      <c r="AP76" s="48">
        <v>0</v>
      </c>
      <c r="AQ76" s="48">
        <v>0</v>
      </c>
      <c r="AR76" s="49">
        <f t="shared" ref="AR76:AR77" si="44">SUM(AL76:AQ76)</f>
        <v>0</v>
      </c>
      <c r="AS76" s="50">
        <v>0</v>
      </c>
      <c r="AT76" s="48">
        <v>0</v>
      </c>
      <c r="AU76" s="49">
        <f t="shared" ref="AU76:AU77" si="45">SUM(AS76:AT76)</f>
        <v>0</v>
      </c>
      <c r="AV76" s="50">
        <v>0</v>
      </c>
      <c r="AW76" s="48">
        <v>0</v>
      </c>
      <c r="AX76" s="48">
        <v>0</v>
      </c>
      <c r="AY76" s="48">
        <v>0</v>
      </c>
      <c r="AZ76" s="51">
        <v>0</v>
      </c>
      <c r="BA76" s="52"/>
      <c r="BB76" s="52"/>
      <c r="BC76" s="53" t="s">
        <v>1964</v>
      </c>
    </row>
    <row r="77" spans="1:55" ht="17.25" customHeight="1" x14ac:dyDescent="0.2">
      <c r="A77" s="871"/>
      <c r="B77" s="873"/>
      <c r="C77" s="876"/>
      <c r="D77" s="879"/>
      <c r="E77" s="883"/>
      <c r="F77" s="885"/>
      <c r="G77" s="888"/>
      <c r="H77" s="891"/>
      <c r="I77" s="896"/>
      <c r="J77" s="897"/>
      <c r="K77" s="906"/>
      <c r="L77" s="910"/>
      <c r="M77" s="797" t="s">
        <v>1934</v>
      </c>
      <c r="N77" s="798" t="s">
        <v>1928</v>
      </c>
      <c r="O77" s="800">
        <v>1</v>
      </c>
      <c r="P77" s="43">
        <v>0</v>
      </c>
      <c r="Q77" s="43">
        <v>0</v>
      </c>
      <c r="R77" s="913"/>
      <c r="S77" s="44">
        <v>0</v>
      </c>
      <c r="T77" s="916"/>
      <c r="U77" s="44">
        <v>0</v>
      </c>
      <c r="V77" s="916"/>
      <c r="W77" s="44">
        <v>0</v>
      </c>
      <c r="X77" s="916"/>
      <c r="Y77" s="44">
        <v>0</v>
      </c>
      <c r="Z77" s="916"/>
      <c r="AA77" s="45">
        <v>0</v>
      </c>
      <c r="AB77" s="916"/>
      <c r="AC77" s="44">
        <v>0</v>
      </c>
      <c r="AD77" s="916"/>
      <c r="AE77" s="44">
        <v>0</v>
      </c>
      <c r="AF77" s="901"/>
      <c r="AG77" s="44">
        <v>0</v>
      </c>
      <c r="AH77" s="901"/>
      <c r="AI77" s="44">
        <v>0</v>
      </c>
      <c r="AJ77" s="904"/>
      <c r="AK77" s="99">
        <f t="shared" si="43"/>
        <v>0</v>
      </c>
      <c r="AL77" s="47">
        <v>0</v>
      </c>
      <c r="AM77" s="48">
        <v>0</v>
      </c>
      <c r="AN77" s="48">
        <v>0</v>
      </c>
      <c r="AO77" s="48">
        <v>0</v>
      </c>
      <c r="AP77" s="48">
        <v>0</v>
      </c>
      <c r="AQ77" s="48">
        <v>0</v>
      </c>
      <c r="AR77" s="49">
        <f t="shared" si="44"/>
        <v>0</v>
      </c>
      <c r="AS77" s="50">
        <v>0</v>
      </c>
      <c r="AT77" s="48">
        <v>0</v>
      </c>
      <c r="AU77" s="49">
        <f t="shared" si="45"/>
        <v>0</v>
      </c>
      <c r="AV77" s="50">
        <v>0</v>
      </c>
      <c r="AW77" s="48">
        <v>0</v>
      </c>
      <c r="AX77" s="48">
        <v>0</v>
      </c>
      <c r="AY77" s="48">
        <v>0</v>
      </c>
      <c r="AZ77" s="51">
        <v>0</v>
      </c>
      <c r="BA77" s="52"/>
      <c r="BB77" s="52"/>
      <c r="BC77" s="53" t="s">
        <v>1964</v>
      </c>
    </row>
    <row r="78" spans="1:55" ht="17.25" customHeight="1" x14ac:dyDescent="0.2">
      <c r="A78" s="871"/>
      <c r="B78" s="873"/>
      <c r="C78" s="876"/>
      <c r="D78" s="879"/>
      <c r="E78" s="883"/>
      <c r="F78" s="885"/>
      <c r="G78" s="888"/>
      <c r="H78" s="891"/>
      <c r="I78" s="896"/>
      <c r="J78" s="897"/>
      <c r="K78" s="906"/>
      <c r="L78" s="910"/>
      <c r="M78" s="167"/>
      <c r="N78" s="168"/>
      <c r="O78" s="169"/>
      <c r="P78" s="43"/>
      <c r="Q78" s="43"/>
      <c r="R78" s="913"/>
      <c r="S78" s="44"/>
      <c r="T78" s="916"/>
      <c r="U78" s="45"/>
      <c r="V78" s="916"/>
      <c r="W78" s="45"/>
      <c r="X78" s="916"/>
      <c r="Y78" s="45"/>
      <c r="Z78" s="916"/>
      <c r="AA78" s="45"/>
      <c r="AB78" s="916"/>
      <c r="AC78" s="45"/>
      <c r="AD78" s="916"/>
      <c r="AE78" s="45"/>
      <c r="AF78" s="901"/>
      <c r="AG78" s="46"/>
      <c r="AH78" s="901"/>
      <c r="AI78" s="45"/>
      <c r="AJ78" s="904"/>
      <c r="AK78" s="99">
        <f t="shared" si="43"/>
        <v>0</v>
      </c>
      <c r="AL78" s="47"/>
      <c r="AM78" s="48"/>
      <c r="AN78" s="48"/>
      <c r="AO78" s="48"/>
      <c r="AP78" s="48"/>
      <c r="AQ78" s="48"/>
      <c r="AR78" s="49">
        <f t="shared" ref="AR78:AR81" si="46">SUM(AL78:AQ78)</f>
        <v>0</v>
      </c>
      <c r="AS78" s="50"/>
      <c r="AT78" s="48"/>
      <c r="AU78" s="49">
        <f t="shared" ref="AU78:AU80" si="47">SUM(AS78:AT78)</f>
        <v>0</v>
      </c>
      <c r="AV78" s="50"/>
      <c r="AW78" s="48"/>
      <c r="AX78" s="48"/>
      <c r="AY78" s="48"/>
      <c r="AZ78" s="51"/>
      <c r="BA78" s="52"/>
      <c r="BB78" s="52"/>
      <c r="BC78" s="53"/>
    </row>
    <row r="79" spans="1:55" ht="17.25" customHeight="1" x14ac:dyDescent="0.2">
      <c r="A79" s="871"/>
      <c r="B79" s="873"/>
      <c r="C79" s="876"/>
      <c r="D79" s="879"/>
      <c r="E79" s="883"/>
      <c r="F79" s="885"/>
      <c r="G79" s="888"/>
      <c r="H79" s="891"/>
      <c r="I79" s="896"/>
      <c r="J79" s="897"/>
      <c r="K79" s="906"/>
      <c r="L79" s="910"/>
      <c r="M79" s="167"/>
      <c r="N79" s="168"/>
      <c r="O79" s="169"/>
      <c r="P79" s="43"/>
      <c r="Q79" s="43"/>
      <c r="R79" s="913"/>
      <c r="S79" s="44"/>
      <c r="T79" s="916"/>
      <c r="U79" s="45"/>
      <c r="V79" s="916"/>
      <c r="W79" s="45"/>
      <c r="X79" s="916"/>
      <c r="Y79" s="45"/>
      <c r="Z79" s="916"/>
      <c r="AA79" s="45"/>
      <c r="AB79" s="916"/>
      <c r="AC79" s="45"/>
      <c r="AD79" s="916"/>
      <c r="AE79" s="45"/>
      <c r="AF79" s="901"/>
      <c r="AG79" s="46"/>
      <c r="AH79" s="901"/>
      <c r="AI79" s="45"/>
      <c r="AJ79" s="904"/>
      <c r="AK79" s="99">
        <f t="shared" si="43"/>
        <v>0</v>
      </c>
      <c r="AL79" s="47"/>
      <c r="AM79" s="48"/>
      <c r="AN79" s="48"/>
      <c r="AO79" s="48"/>
      <c r="AP79" s="48"/>
      <c r="AQ79" s="48"/>
      <c r="AR79" s="49">
        <f t="shared" si="46"/>
        <v>0</v>
      </c>
      <c r="AS79" s="50"/>
      <c r="AT79" s="48"/>
      <c r="AU79" s="49">
        <f t="shared" si="47"/>
        <v>0</v>
      </c>
      <c r="AV79" s="50"/>
      <c r="AW79" s="48"/>
      <c r="AX79" s="48"/>
      <c r="AY79" s="48"/>
      <c r="AZ79" s="51"/>
      <c r="BA79" s="52"/>
      <c r="BB79" s="52"/>
      <c r="BC79" s="53"/>
    </row>
    <row r="80" spans="1:55" ht="17.25" customHeight="1" x14ac:dyDescent="0.2">
      <c r="A80" s="871"/>
      <c r="B80" s="873"/>
      <c r="C80" s="876"/>
      <c r="D80" s="879"/>
      <c r="E80" s="883"/>
      <c r="F80" s="885"/>
      <c r="G80" s="888"/>
      <c r="H80" s="891"/>
      <c r="I80" s="896"/>
      <c r="J80" s="897"/>
      <c r="K80" s="906"/>
      <c r="L80" s="910"/>
      <c r="M80" s="167"/>
      <c r="N80" s="168"/>
      <c r="O80" s="169"/>
      <c r="P80" s="43"/>
      <c r="Q80" s="43"/>
      <c r="R80" s="913"/>
      <c r="S80" s="44"/>
      <c r="T80" s="916"/>
      <c r="U80" s="45"/>
      <c r="V80" s="916"/>
      <c r="W80" s="45"/>
      <c r="X80" s="916"/>
      <c r="Y80" s="45"/>
      <c r="Z80" s="916"/>
      <c r="AA80" s="45"/>
      <c r="AB80" s="916"/>
      <c r="AC80" s="45"/>
      <c r="AD80" s="916"/>
      <c r="AE80" s="45"/>
      <c r="AF80" s="901"/>
      <c r="AG80" s="46"/>
      <c r="AH80" s="901"/>
      <c r="AI80" s="45"/>
      <c r="AJ80" s="904"/>
      <c r="AK80" s="99">
        <f t="shared" si="43"/>
        <v>0</v>
      </c>
      <c r="AL80" s="47"/>
      <c r="AM80" s="48"/>
      <c r="AN80" s="48"/>
      <c r="AO80" s="48"/>
      <c r="AP80" s="48"/>
      <c r="AQ80" s="48"/>
      <c r="AR80" s="49">
        <f t="shared" si="46"/>
        <v>0</v>
      </c>
      <c r="AS80" s="50"/>
      <c r="AT80" s="48"/>
      <c r="AU80" s="49">
        <f t="shared" si="47"/>
        <v>0</v>
      </c>
      <c r="AV80" s="50"/>
      <c r="AW80" s="48"/>
      <c r="AX80" s="48"/>
      <c r="AY80" s="48"/>
      <c r="AZ80" s="51"/>
      <c r="BA80" s="52"/>
      <c r="BB80" s="52"/>
      <c r="BC80" s="53"/>
    </row>
    <row r="81" spans="1:55" ht="17.25" customHeight="1" x14ac:dyDescent="0.2">
      <c r="A81" s="871"/>
      <c r="B81" s="874"/>
      <c r="C81" s="877"/>
      <c r="D81" s="880"/>
      <c r="E81" s="883"/>
      <c r="F81" s="886"/>
      <c r="G81" s="889"/>
      <c r="H81" s="892"/>
      <c r="I81" s="896"/>
      <c r="J81" s="897"/>
      <c r="K81" s="907"/>
      <c r="L81" s="910"/>
      <c r="M81" s="170"/>
      <c r="N81" s="171"/>
      <c r="O81" s="172"/>
      <c r="P81" s="100"/>
      <c r="Q81" s="100"/>
      <c r="R81" s="913"/>
      <c r="S81" s="101"/>
      <c r="T81" s="916"/>
      <c r="U81" s="102"/>
      <c r="V81" s="916"/>
      <c r="W81" s="102"/>
      <c r="X81" s="916"/>
      <c r="Y81" s="102"/>
      <c r="Z81" s="916"/>
      <c r="AA81" s="102"/>
      <c r="AB81" s="916"/>
      <c r="AC81" s="102"/>
      <c r="AD81" s="916"/>
      <c r="AE81" s="102"/>
      <c r="AF81" s="901"/>
      <c r="AG81" s="103"/>
      <c r="AH81" s="901"/>
      <c r="AI81" s="102"/>
      <c r="AJ81" s="905"/>
      <c r="AK81" s="99">
        <f t="shared" si="43"/>
        <v>0</v>
      </c>
      <c r="AL81" s="104"/>
      <c r="AM81" s="105"/>
      <c r="AN81" s="105"/>
      <c r="AO81" s="105"/>
      <c r="AP81" s="105"/>
      <c r="AQ81" s="105"/>
      <c r="AR81" s="49">
        <f t="shared" si="46"/>
        <v>0</v>
      </c>
      <c r="AS81" s="106"/>
      <c r="AT81" s="105"/>
      <c r="AU81" s="49">
        <f>SUM(AS81:AT81)</f>
        <v>0</v>
      </c>
      <c r="AV81" s="106"/>
      <c r="AW81" s="105"/>
      <c r="AX81" s="105"/>
      <c r="AY81" s="105"/>
      <c r="AZ81" s="107"/>
      <c r="BA81" s="108"/>
      <c r="BB81" s="108"/>
      <c r="BC81" s="109"/>
    </row>
    <row r="82" spans="1:55" ht="9.9499999999999993" customHeight="1" thickBot="1" x14ac:dyDescent="0.25">
      <c r="A82" s="872"/>
      <c r="B82" s="875"/>
      <c r="C82" s="878"/>
      <c r="D82" s="881"/>
      <c r="E82" s="884"/>
      <c r="F82" s="887"/>
      <c r="G82" s="890"/>
      <c r="H82" s="893"/>
      <c r="I82" s="898"/>
      <c r="J82" s="899"/>
      <c r="K82" s="908"/>
      <c r="L82" s="911"/>
      <c r="M82" s="173"/>
      <c r="N82" s="174"/>
      <c r="O82" s="175"/>
      <c r="P82" s="110"/>
      <c r="Q82" s="110"/>
      <c r="R82" s="914"/>
      <c r="S82" s="176"/>
      <c r="T82" s="917"/>
      <c r="U82" s="177"/>
      <c r="V82" s="917"/>
      <c r="W82" s="177"/>
      <c r="X82" s="917"/>
      <c r="Y82" s="177"/>
      <c r="Z82" s="917"/>
      <c r="AA82" s="177"/>
      <c r="AB82" s="917"/>
      <c r="AC82" s="177"/>
      <c r="AD82" s="917"/>
      <c r="AE82" s="177"/>
      <c r="AF82" s="902"/>
      <c r="AG82" s="178"/>
      <c r="AH82" s="902"/>
      <c r="AI82" s="177"/>
      <c r="AJ82" s="111"/>
      <c r="AK82" s="112"/>
      <c r="AL82" s="179"/>
      <c r="AM82" s="180"/>
      <c r="AN82" s="180"/>
      <c r="AO82" s="180"/>
      <c r="AP82" s="180"/>
      <c r="AQ82" s="180"/>
      <c r="AR82" s="113"/>
      <c r="AS82" s="181"/>
      <c r="AT82" s="180"/>
      <c r="AU82" s="113"/>
      <c r="AV82" s="181"/>
      <c r="AW82" s="180"/>
      <c r="AX82" s="180"/>
      <c r="AY82" s="180"/>
      <c r="AZ82" s="182"/>
      <c r="BA82" s="183"/>
      <c r="BB82" s="183"/>
      <c r="BC82" s="184"/>
    </row>
    <row r="83" spans="1:55" ht="6" customHeight="1" x14ac:dyDescent="0.2">
      <c r="A83" s="149"/>
      <c r="B83" s="185"/>
      <c r="C83" s="185"/>
      <c r="D83" s="185"/>
      <c r="E83" s="185"/>
      <c r="F83" s="185"/>
      <c r="G83" s="185"/>
      <c r="H83" s="185"/>
      <c r="I83" s="918"/>
      <c r="J83" s="918"/>
      <c r="K83" s="185"/>
      <c r="L83" s="185"/>
      <c r="M83" s="185"/>
      <c r="N83" s="185"/>
      <c r="O83" s="185"/>
      <c r="P83" s="185"/>
      <c r="Q83" s="185"/>
      <c r="R83" s="185"/>
      <c r="S83" s="185"/>
      <c r="T83" s="185"/>
      <c r="U83" s="185"/>
      <c r="V83" s="185"/>
      <c r="W83" s="185"/>
      <c r="X83" s="185"/>
      <c r="Y83" s="185"/>
      <c r="Z83" s="185"/>
      <c r="AA83" s="185"/>
      <c r="AB83" s="185"/>
      <c r="AC83" s="185"/>
      <c r="AD83" s="185"/>
      <c r="AE83" s="185"/>
      <c r="AF83" s="185"/>
      <c r="AG83" s="185"/>
      <c r="AH83" s="185"/>
      <c r="AI83" s="185"/>
      <c r="AJ83" s="185"/>
      <c r="AK83" s="186"/>
      <c r="AL83" s="186"/>
      <c r="AM83" s="186"/>
      <c r="AN83" s="186"/>
      <c r="AO83" s="186"/>
      <c r="AP83" s="186"/>
      <c r="AQ83" s="187"/>
      <c r="AR83" s="186"/>
      <c r="AS83" s="186"/>
      <c r="AT83" s="186"/>
      <c r="AU83" s="186"/>
      <c r="AV83" s="186"/>
      <c r="AW83" s="186"/>
      <c r="AX83" s="186"/>
      <c r="AY83" s="186"/>
      <c r="AZ83" s="186"/>
      <c r="BA83" s="186"/>
      <c r="BB83" s="186"/>
      <c r="BC83" s="149"/>
    </row>
    <row r="84" spans="1:55" ht="72" customHeight="1" x14ac:dyDescent="0.2">
      <c r="A84" s="870">
        <v>9</v>
      </c>
      <c r="B84" s="154" t="s">
        <v>1704</v>
      </c>
      <c r="C84" s="155" t="s">
        <v>1705</v>
      </c>
      <c r="D84" s="156" t="s">
        <v>21</v>
      </c>
      <c r="E84" s="156" t="s">
        <v>1890</v>
      </c>
      <c r="F84" s="155" t="s">
        <v>1706</v>
      </c>
      <c r="G84" s="157" t="s">
        <v>1679</v>
      </c>
      <c r="H84" s="157" t="s">
        <v>1680</v>
      </c>
      <c r="I84" s="158" t="s">
        <v>1906</v>
      </c>
      <c r="J84" s="159">
        <f>+$N$3</f>
        <v>2019</v>
      </c>
      <c r="K84" s="157" t="s">
        <v>1923</v>
      </c>
      <c r="L84" s="158" t="s">
        <v>1951</v>
      </c>
      <c r="M84" s="155" t="s">
        <v>1707</v>
      </c>
      <c r="N84" s="155" t="s">
        <v>1708</v>
      </c>
      <c r="O84" s="155" t="s">
        <v>1709</v>
      </c>
      <c r="P84" s="155" t="s">
        <v>1961</v>
      </c>
      <c r="Q84" s="155" t="s">
        <v>1952</v>
      </c>
      <c r="R84" s="160">
        <f>SUM(R85:R91)</f>
        <v>0</v>
      </c>
      <c r="S84" s="161">
        <f t="shared" ref="S84:AK84" si="48">SUM(S85:S91)</f>
        <v>0</v>
      </c>
      <c r="T84" s="162">
        <f t="shared" si="48"/>
        <v>0</v>
      </c>
      <c r="U84" s="163">
        <f t="shared" si="48"/>
        <v>0</v>
      </c>
      <c r="V84" s="162">
        <f t="shared" si="48"/>
        <v>23000000000</v>
      </c>
      <c r="W84" s="163">
        <f t="shared" si="48"/>
        <v>0</v>
      </c>
      <c r="X84" s="162">
        <f t="shared" si="48"/>
        <v>0</v>
      </c>
      <c r="Y84" s="163">
        <f t="shared" si="48"/>
        <v>0</v>
      </c>
      <c r="Z84" s="162">
        <f t="shared" si="48"/>
        <v>0</v>
      </c>
      <c r="AA84" s="163">
        <f t="shared" si="48"/>
        <v>0</v>
      </c>
      <c r="AB84" s="162">
        <f t="shared" si="48"/>
        <v>0</v>
      </c>
      <c r="AC84" s="163">
        <f t="shared" si="48"/>
        <v>0</v>
      </c>
      <c r="AD84" s="162">
        <f t="shared" si="48"/>
        <v>0</v>
      </c>
      <c r="AE84" s="163">
        <f t="shared" si="48"/>
        <v>0</v>
      </c>
      <c r="AF84" s="162">
        <f t="shared" si="48"/>
        <v>0</v>
      </c>
      <c r="AG84" s="164">
        <f t="shared" si="48"/>
        <v>0</v>
      </c>
      <c r="AH84" s="162">
        <f t="shared" si="48"/>
        <v>0</v>
      </c>
      <c r="AI84" s="163">
        <f t="shared" si="48"/>
        <v>0</v>
      </c>
      <c r="AJ84" s="165">
        <f t="shared" si="48"/>
        <v>23000000000</v>
      </c>
      <c r="AK84" s="166">
        <f t="shared" si="48"/>
        <v>0</v>
      </c>
      <c r="AL84" s="849"/>
      <c r="AM84" s="850"/>
      <c r="AN84" s="850"/>
      <c r="AO84" s="850"/>
      <c r="AP84" s="850"/>
      <c r="AQ84" s="850"/>
      <c r="AR84" s="851"/>
      <c r="AS84" s="852"/>
      <c r="AT84" s="850"/>
      <c r="AU84" s="851"/>
      <c r="AV84" s="852"/>
      <c r="AW84" s="850"/>
      <c r="AX84" s="850"/>
      <c r="AY84" s="850"/>
      <c r="AZ84" s="853"/>
      <c r="BA84" s="41" t="s">
        <v>1685</v>
      </c>
      <c r="BB84" s="41" t="s">
        <v>1954</v>
      </c>
      <c r="BC84" s="42" t="s">
        <v>1686</v>
      </c>
    </row>
    <row r="85" spans="1:55" ht="17.25" customHeight="1" x14ac:dyDescent="0.2">
      <c r="A85" s="871"/>
      <c r="B85" s="873" t="str">
        <f>VLOOKUP($D$9,'PROYECTOS REGISTRADOS'!$A$2:$D$82,4,0)</f>
        <v>Construcción y mantenimiento de infraestructura municipal Tocancipá, Cundinamarca, Centro Oriente</v>
      </c>
      <c r="C85" s="876" t="str">
        <f>VLOOKUP($D$9,'PROYECTOS REGISTRADOS'!$A$2:$D$82,3,0)</f>
        <v>2016-25817-0036</v>
      </c>
      <c r="D85" s="879" t="s">
        <v>1028</v>
      </c>
      <c r="E85" s="882" t="str">
        <f>IF(D85=0,"0-0",(VLOOKUP(D85,'CONSOLIDADO PLAN DESARROLLO'!$EL$9:$ET$304,2,0)))</f>
        <v>Realizar la construcción y ampliación de infraestructuras culturales</v>
      </c>
      <c r="F85" s="885" t="str">
        <f>IF(D85=0,"0-0",(VLOOKUP(D85,'CONSOLIDADO PLAN DESARROLLO'!$EL$9:$ET$304,3,0)))</f>
        <v>infraestructuras construidas o ampliadas</v>
      </c>
      <c r="G85" s="888">
        <f>IF(D85=0,"0-0",(VLOOKUP(D85,'CONSOLIDADO PLAN DESARROLLO'!$EL$9:$ET$304,4,0)))</f>
        <v>1</v>
      </c>
      <c r="H85" s="891">
        <f>IF(D85=0,"0-0",(VLOOKUP(D85,'CONSOLIDADO PLAN DESARROLLO'!$EL$9:$ET$304,5,0)))</f>
        <v>2</v>
      </c>
      <c r="I85" s="894">
        <f>IF(D85=0,"0-0",(VLOOKUP(D85,'CONSOLIDADO PLAN DESARROLLO'!$EL$9:$ET$304,$R$3,0)))</f>
        <v>0.92</v>
      </c>
      <c r="J85" s="895"/>
      <c r="K85" s="906">
        <v>0</v>
      </c>
      <c r="L85" s="909">
        <v>0</v>
      </c>
      <c r="M85" s="797" t="s">
        <v>1943</v>
      </c>
      <c r="N85" s="798" t="s">
        <v>1928</v>
      </c>
      <c r="O85" s="800">
        <v>1</v>
      </c>
      <c r="P85" s="43">
        <v>0</v>
      </c>
      <c r="Q85" s="43">
        <v>0</v>
      </c>
      <c r="R85" s="912">
        <f>VLOOKUP($D85,'[4]Tablero Logro Metas 2019'!$AK$7:$AS$302,3,0)</f>
        <v>0</v>
      </c>
      <c r="S85" s="44">
        <v>0</v>
      </c>
      <c r="T85" s="915">
        <f>VLOOKUP($D85,'[4]Tablero Logro Metas 2019'!$AK$7:$AS$302,4,0)</f>
        <v>0</v>
      </c>
      <c r="U85" s="44">
        <v>0</v>
      </c>
      <c r="V85" s="915">
        <f>VLOOKUP($D85,'[4]Tablero Logro Metas 2019'!$AK$7:$AS$302,5,0)</f>
        <v>23000000000</v>
      </c>
      <c r="W85" s="44">
        <v>0</v>
      </c>
      <c r="X85" s="915">
        <f>VLOOKUP($D85,'[4]Tablero Logro Metas 2019'!$AK$7:$AS$302,6,0)</f>
        <v>0</v>
      </c>
      <c r="Y85" s="44">
        <v>0</v>
      </c>
      <c r="Z85" s="915">
        <f>VLOOKUP($D85,'[4]Tablero Logro Metas 2019'!$AK$7:$AS$302,7,0)</f>
        <v>0</v>
      </c>
      <c r="AA85" s="45">
        <v>0</v>
      </c>
      <c r="AB85" s="915">
        <f>VLOOKUP($D85,'[4]Tablero Logro Metas 2019'!$AK$7:$AS$302,8,0)</f>
        <v>0</v>
      </c>
      <c r="AC85" s="44">
        <v>0</v>
      </c>
      <c r="AD85" s="915">
        <f>VLOOKUP($D85,'[4]Tablero Logro Metas 2019'!$AK$7:$AS$302,9,0)</f>
        <v>0</v>
      </c>
      <c r="AE85" s="44">
        <v>0</v>
      </c>
      <c r="AF85" s="900"/>
      <c r="AG85" s="44">
        <v>0</v>
      </c>
      <c r="AH85" s="900"/>
      <c r="AI85" s="44">
        <v>0</v>
      </c>
      <c r="AJ85" s="903">
        <f>+R85+T85+V85+X85+Z85+AB85+AD85+AF85+AH85</f>
        <v>23000000000</v>
      </c>
      <c r="AK85" s="99">
        <f t="shared" ref="AK85:AK90" si="49">AC85+AE85+AG85+S85+U85+W85+Y85+AA85+AI85</f>
        <v>0</v>
      </c>
      <c r="AL85" s="47">
        <v>0</v>
      </c>
      <c r="AM85" s="48">
        <v>0</v>
      </c>
      <c r="AN85" s="48">
        <v>0</v>
      </c>
      <c r="AO85" s="48">
        <v>0</v>
      </c>
      <c r="AP85" s="48">
        <v>0</v>
      </c>
      <c r="AQ85" s="48">
        <v>0</v>
      </c>
      <c r="AR85" s="49">
        <f t="shared" ref="AR85:AR86" si="50">SUM(AL85:AQ85)</f>
        <v>0</v>
      </c>
      <c r="AS85" s="50">
        <v>0</v>
      </c>
      <c r="AT85" s="48">
        <v>0</v>
      </c>
      <c r="AU85" s="49">
        <f t="shared" ref="AU85:AU86" si="51">SUM(AS85:AT85)</f>
        <v>0</v>
      </c>
      <c r="AV85" s="50">
        <v>0</v>
      </c>
      <c r="AW85" s="48">
        <v>0</v>
      </c>
      <c r="AX85" s="48">
        <v>0</v>
      </c>
      <c r="AY85" s="48">
        <v>0</v>
      </c>
      <c r="AZ85" s="51">
        <v>0</v>
      </c>
      <c r="BA85" s="52"/>
      <c r="BB85" s="52"/>
      <c r="BC85" s="53" t="s">
        <v>1964</v>
      </c>
    </row>
    <row r="86" spans="1:55" ht="17.25" customHeight="1" x14ac:dyDescent="0.2">
      <c r="A86" s="871"/>
      <c r="B86" s="873"/>
      <c r="C86" s="876"/>
      <c r="D86" s="879"/>
      <c r="E86" s="883"/>
      <c r="F86" s="885"/>
      <c r="G86" s="888"/>
      <c r="H86" s="891"/>
      <c r="I86" s="896"/>
      <c r="J86" s="897"/>
      <c r="K86" s="906"/>
      <c r="L86" s="910"/>
      <c r="M86" s="797" t="s">
        <v>1932</v>
      </c>
      <c r="N86" s="798" t="s">
        <v>1928</v>
      </c>
      <c r="O86" s="800">
        <v>2</v>
      </c>
      <c r="P86" s="43">
        <v>0</v>
      </c>
      <c r="Q86" s="43">
        <v>0</v>
      </c>
      <c r="R86" s="913"/>
      <c r="S86" s="44">
        <v>0</v>
      </c>
      <c r="T86" s="916"/>
      <c r="U86" s="44">
        <v>0</v>
      </c>
      <c r="V86" s="916"/>
      <c r="W86" s="44">
        <v>0</v>
      </c>
      <c r="X86" s="916"/>
      <c r="Y86" s="44">
        <v>0</v>
      </c>
      <c r="Z86" s="916"/>
      <c r="AA86" s="45">
        <v>0</v>
      </c>
      <c r="AB86" s="916"/>
      <c r="AC86" s="44">
        <v>0</v>
      </c>
      <c r="AD86" s="916"/>
      <c r="AE86" s="44">
        <v>0</v>
      </c>
      <c r="AF86" s="901"/>
      <c r="AG86" s="44">
        <v>0</v>
      </c>
      <c r="AH86" s="901"/>
      <c r="AI86" s="44">
        <v>0</v>
      </c>
      <c r="AJ86" s="904"/>
      <c r="AK86" s="99">
        <f t="shared" si="49"/>
        <v>0</v>
      </c>
      <c r="AL86" s="47">
        <v>0</v>
      </c>
      <c r="AM86" s="48">
        <v>0</v>
      </c>
      <c r="AN86" s="48">
        <v>0</v>
      </c>
      <c r="AO86" s="48">
        <v>0</v>
      </c>
      <c r="AP86" s="48">
        <v>0</v>
      </c>
      <c r="AQ86" s="48">
        <v>0</v>
      </c>
      <c r="AR86" s="49">
        <f t="shared" si="50"/>
        <v>0</v>
      </c>
      <c r="AS86" s="50">
        <v>0</v>
      </c>
      <c r="AT86" s="48">
        <v>0</v>
      </c>
      <c r="AU86" s="49">
        <f t="shared" si="51"/>
        <v>0</v>
      </c>
      <c r="AV86" s="50">
        <v>0</v>
      </c>
      <c r="AW86" s="48">
        <v>0</v>
      </c>
      <c r="AX86" s="48">
        <v>0</v>
      </c>
      <c r="AY86" s="48">
        <v>0</v>
      </c>
      <c r="AZ86" s="51">
        <v>0</v>
      </c>
      <c r="BA86" s="52"/>
      <c r="BB86" s="52"/>
      <c r="BC86" s="53" t="s">
        <v>1964</v>
      </c>
    </row>
    <row r="87" spans="1:55" ht="17.25" customHeight="1" x14ac:dyDescent="0.2">
      <c r="A87" s="871"/>
      <c r="B87" s="873"/>
      <c r="C87" s="876"/>
      <c r="D87" s="879"/>
      <c r="E87" s="883"/>
      <c r="F87" s="885"/>
      <c r="G87" s="888"/>
      <c r="H87" s="891"/>
      <c r="I87" s="896"/>
      <c r="J87" s="897"/>
      <c r="K87" s="906"/>
      <c r="L87" s="910"/>
      <c r="M87" s="797" t="s">
        <v>1939</v>
      </c>
      <c r="N87" s="798" t="s">
        <v>1928</v>
      </c>
      <c r="O87" s="800">
        <v>2</v>
      </c>
      <c r="P87" s="43">
        <v>0</v>
      </c>
      <c r="Q87" s="43">
        <v>0</v>
      </c>
      <c r="R87" s="913"/>
      <c r="S87" s="44">
        <v>0</v>
      </c>
      <c r="T87" s="916"/>
      <c r="U87" s="44">
        <v>0</v>
      </c>
      <c r="V87" s="916"/>
      <c r="W87" s="44">
        <v>0</v>
      </c>
      <c r="X87" s="916"/>
      <c r="Y87" s="44">
        <v>0</v>
      </c>
      <c r="Z87" s="916"/>
      <c r="AA87" s="45">
        <v>0</v>
      </c>
      <c r="AB87" s="916"/>
      <c r="AC87" s="44">
        <v>0</v>
      </c>
      <c r="AD87" s="916"/>
      <c r="AE87" s="44">
        <v>0</v>
      </c>
      <c r="AF87" s="901"/>
      <c r="AG87" s="44">
        <v>0</v>
      </c>
      <c r="AH87" s="901"/>
      <c r="AI87" s="44">
        <v>0</v>
      </c>
      <c r="AJ87" s="904"/>
      <c r="AK87" s="99">
        <f t="shared" si="49"/>
        <v>0</v>
      </c>
      <c r="AL87" s="47">
        <v>0</v>
      </c>
      <c r="AM87" s="48">
        <v>0</v>
      </c>
      <c r="AN87" s="48">
        <v>0</v>
      </c>
      <c r="AO87" s="48">
        <v>0</v>
      </c>
      <c r="AP87" s="48">
        <v>0</v>
      </c>
      <c r="AQ87" s="48">
        <v>0</v>
      </c>
      <c r="AR87" s="49">
        <f t="shared" ref="AR87:AR90" si="52">SUM(AL87:AQ87)</f>
        <v>0</v>
      </c>
      <c r="AS87" s="50">
        <v>0</v>
      </c>
      <c r="AT87" s="48">
        <v>0</v>
      </c>
      <c r="AU87" s="49">
        <f t="shared" ref="AU87:AU89" si="53">SUM(AS87:AT87)</f>
        <v>0</v>
      </c>
      <c r="AV87" s="50">
        <v>0</v>
      </c>
      <c r="AW87" s="48">
        <v>0</v>
      </c>
      <c r="AX87" s="48">
        <v>0</v>
      </c>
      <c r="AY87" s="48">
        <v>0</v>
      </c>
      <c r="AZ87" s="51">
        <v>0</v>
      </c>
      <c r="BA87" s="52"/>
      <c r="BB87" s="52"/>
      <c r="BC87" s="53" t="s">
        <v>1964</v>
      </c>
    </row>
    <row r="88" spans="1:55" ht="17.25" customHeight="1" x14ac:dyDescent="0.2">
      <c r="A88" s="871"/>
      <c r="B88" s="873"/>
      <c r="C88" s="876"/>
      <c r="D88" s="879"/>
      <c r="E88" s="883"/>
      <c r="F88" s="885"/>
      <c r="G88" s="888"/>
      <c r="H88" s="891"/>
      <c r="I88" s="896"/>
      <c r="J88" s="897"/>
      <c r="K88" s="906"/>
      <c r="L88" s="910"/>
      <c r="M88" s="797" t="s">
        <v>1934</v>
      </c>
      <c r="N88" s="798" t="s">
        <v>1928</v>
      </c>
      <c r="O88" s="800">
        <v>2</v>
      </c>
      <c r="P88" s="43">
        <v>0</v>
      </c>
      <c r="Q88" s="43">
        <v>0</v>
      </c>
      <c r="R88" s="913"/>
      <c r="S88" s="44">
        <v>0</v>
      </c>
      <c r="T88" s="916"/>
      <c r="U88" s="44">
        <v>0</v>
      </c>
      <c r="V88" s="916"/>
      <c r="W88" s="44">
        <v>0</v>
      </c>
      <c r="X88" s="916"/>
      <c r="Y88" s="44">
        <v>0</v>
      </c>
      <c r="Z88" s="916"/>
      <c r="AA88" s="45">
        <v>0</v>
      </c>
      <c r="AB88" s="916"/>
      <c r="AC88" s="44">
        <v>0</v>
      </c>
      <c r="AD88" s="916"/>
      <c r="AE88" s="44">
        <v>0</v>
      </c>
      <c r="AF88" s="901"/>
      <c r="AG88" s="44">
        <v>0</v>
      </c>
      <c r="AH88" s="901"/>
      <c r="AI88" s="44">
        <v>0</v>
      </c>
      <c r="AJ88" s="904"/>
      <c r="AK88" s="99">
        <f t="shared" si="49"/>
        <v>0</v>
      </c>
      <c r="AL88" s="47">
        <v>0</v>
      </c>
      <c r="AM88" s="48">
        <v>0</v>
      </c>
      <c r="AN88" s="48">
        <v>0</v>
      </c>
      <c r="AO88" s="48">
        <v>0</v>
      </c>
      <c r="AP88" s="48">
        <v>0</v>
      </c>
      <c r="AQ88" s="48">
        <v>0</v>
      </c>
      <c r="AR88" s="49">
        <f t="shared" si="52"/>
        <v>0</v>
      </c>
      <c r="AS88" s="50">
        <v>0</v>
      </c>
      <c r="AT88" s="48">
        <v>0</v>
      </c>
      <c r="AU88" s="49">
        <f t="shared" si="53"/>
        <v>0</v>
      </c>
      <c r="AV88" s="50">
        <v>0</v>
      </c>
      <c r="AW88" s="48">
        <v>0</v>
      </c>
      <c r="AX88" s="48">
        <v>0</v>
      </c>
      <c r="AY88" s="48">
        <v>0</v>
      </c>
      <c r="AZ88" s="51">
        <v>0</v>
      </c>
      <c r="BA88" s="52"/>
      <c r="BB88" s="52"/>
      <c r="BC88" s="53" t="s">
        <v>1964</v>
      </c>
    </row>
    <row r="89" spans="1:55" ht="17.25" customHeight="1" x14ac:dyDescent="0.2">
      <c r="A89" s="871"/>
      <c r="B89" s="873"/>
      <c r="C89" s="876"/>
      <c r="D89" s="879"/>
      <c r="E89" s="883"/>
      <c r="F89" s="885"/>
      <c r="G89" s="888"/>
      <c r="H89" s="891"/>
      <c r="I89" s="896"/>
      <c r="J89" s="897"/>
      <c r="K89" s="906"/>
      <c r="L89" s="910"/>
      <c r="M89" s="167"/>
      <c r="N89" s="168"/>
      <c r="O89" s="169"/>
      <c r="P89" s="43"/>
      <c r="Q89" s="43"/>
      <c r="R89" s="913"/>
      <c r="S89" s="44"/>
      <c r="T89" s="916"/>
      <c r="U89" s="45"/>
      <c r="V89" s="916"/>
      <c r="W89" s="45"/>
      <c r="X89" s="916"/>
      <c r="Y89" s="45"/>
      <c r="Z89" s="916"/>
      <c r="AA89" s="45"/>
      <c r="AB89" s="916"/>
      <c r="AC89" s="45"/>
      <c r="AD89" s="916"/>
      <c r="AE89" s="45"/>
      <c r="AF89" s="901"/>
      <c r="AG89" s="46"/>
      <c r="AH89" s="901"/>
      <c r="AI89" s="45"/>
      <c r="AJ89" s="904"/>
      <c r="AK89" s="99">
        <f t="shared" si="49"/>
        <v>0</v>
      </c>
      <c r="AL89" s="47"/>
      <c r="AM89" s="48"/>
      <c r="AN89" s="48"/>
      <c r="AO89" s="48"/>
      <c r="AP89" s="48"/>
      <c r="AQ89" s="48"/>
      <c r="AR89" s="49">
        <f t="shared" si="52"/>
        <v>0</v>
      </c>
      <c r="AS89" s="50"/>
      <c r="AT89" s="48"/>
      <c r="AU89" s="49">
        <f t="shared" si="53"/>
        <v>0</v>
      </c>
      <c r="AV89" s="50"/>
      <c r="AW89" s="48"/>
      <c r="AX89" s="48"/>
      <c r="AY89" s="48"/>
      <c r="AZ89" s="51"/>
      <c r="BA89" s="52"/>
      <c r="BB89" s="52"/>
      <c r="BC89" s="53"/>
    </row>
    <row r="90" spans="1:55" ht="17.25" customHeight="1" x14ac:dyDescent="0.2">
      <c r="A90" s="871"/>
      <c r="B90" s="874"/>
      <c r="C90" s="877"/>
      <c r="D90" s="880"/>
      <c r="E90" s="883"/>
      <c r="F90" s="886"/>
      <c r="G90" s="889"/>
      <c r="H90" s="892"/>
      <c r="I90" s="896"/>
      <c r="J90" s="897"/>
      <c r="K90" s="907"/>
      <c r="L90" s="910"/>
      <c r="M90" s="170"/>
      <c r="N90" s="171"/>
      <c r="O90" s="172"/>
      <c r="P90" s="100"/>
      <c r="Q90" s="100"/>
      <c r="R90" s="913"/>
      <c r="S90" s="101"/>
      <c r="T90" s="916"/>
      <c r="U90" s="102"/>
      <c r="V90" s="916"/>
      <c r="W90" s="102"/>
      <c r="X90" s="916"/>
      <c r="Y90" s="102"/>
      <c r="Z90" s="916"/>
      <c r="AA90" s="102"/>
      <c r="AB90" s="916"/>
      <c r="AC90" s="102"/>
      <c r="AD90" s="916"/>
      <c r="AE90" s="102"/>
      <c r="AF90" s="901"/>
      <c r="AG90" s="103"/>
      <c r="AH90" s="901"/>
      <c r="AI90" s="102"/>
      <c r="AJ90" s="905"/>
      <c r="AK90" s="99">
        <f t="shared" si="49"/>
        <v>0</v>
      </c>
      <c r="AL90" s="104"/>
      <c r="AM90" s="105"/>
      <c r="AN90" s="105"/>
      <c r="AO90" s="105"/>
      <c r="AP90" s="105"/>
      <c r="AQ90" s="105"/>
      <c r="AR90" s="49">
        <f t="shared" si="52"/>
        <v>0</v>
      </c>
      <c r="AS90" s="106"/>
      <c r="AT90" s="105"/>
      <c r="AU90" s="49">
        <f>SUM(AS90:AT90)</f>
        <v>0</v>
      </c>
      <c r="AV90" s="106"/>
      <c r="AW90" s="105"/>
      <c r="AX90" s="105"/>
      <c r="AY90" s="105"/>
      <c r="AZ90" s="107"/>
      <c r="BA90" s="108"/>
      <c r="BB90" s="108"/>
      <c r="BC90" s="109"/>
    </row>
    <row r="91" spans="1:55" ht="9.9499999999999993" customHeight="1" thickBot="1" x14ac:dyDescent="0.25">
      <c r="A91" s="872"/>
      <c r="B91" s="875"/>
      <c r="C91" s="878"/>
      <c r="D91" s="881"/>
      <c r="E91" s="884"/>
      <c r="F91" s="887"/>
      <c r="G91" s="890"/>
      <c r="H91" s="893"/>
      <c r="I91" s="898"/>
      <c r="J91" s="899"/>
      <c r="K91" s="908"/>
      <c r="L91" s="911"/>
      <c r="M91" s="173"/>
      <c r="N91" s="174"/>
      <c r="O91" s="175"/>
      <c r="P91" s="110"/>
      <c r="Q91" s="110"/>
      <c r="R91" s="914"/>
      <c r="S91" s="176"/>
      <c r="T91" s="917"/>
      <c r="U91" s="177"/>
      <c r="V91" s="917"/>
      <c r="W91" s="177"/>
      <c r="X91" s="917"/>
      <c r="Y91" s="177"/>
      <c r="Z91" s="917"/>
      <c r="AA91" s="177"/>
      <c r="AB91" s="917"/>
      <c r="AC91" s="177"/>
      <c r="AD91" s="917"/>
      <c r="AE91" s="177"/>
      <c r="AF91" s="902"/>
      <c r="AG91" s="178"/>
      <c r="AH91" s="902"/>
      <c r="AI91" s="177"/>
      <c r="AJ91" s="111"/>
      <c r="AK91" s="112"/>
      <c r="AL91" s="179"/>
      <c r="AM91" s="180"/>
      <c r="AN91" s="180"/>
      <c r="AO91" s="180"/>
      <c r="AP91" s="180"/>
      <c r="AQ91" s="180"/>
      <c r="AR91" s="113"/>
      <c r="AS91" s="181"/>
      <c r="AT91" s="180"/>
      <c r="AU91" s="113"/>
      <c r="AV91" s="181"/>
      <c r="AW91" s="180"/>
      <c r="AX91" s="180"/>
      <c r="AY91" s="180"/>
      <c r="AZ91" s="182"/>
      <c r="BA91" s="183"/>
      <c r="BB91" s="183"/>
      <c r="BC91" s="184"/>
    </row>
    <row r="92" spans="1:55" ht="6" customHeight="1" x14ac:dyDescent="0.2">
      <c r="A92" s="149"/>
      <c r="B92" s="185"/>
      <c r="C92" s="185"/>
      <c r="D92" s="185"/>
      <c r="E92" s="185"/>
      <c r="F92" s="185"/>
      <c r="G92" s="185"/>
      <c r="H92" s="185"/>
      <c r="I92" s="918"/>
      <c r="J92" s="918"/>
      <c r="K92" s="185"/>
      <c r="L92" s="185"/>
      <c r="M92" s="185"/>
      <c r="N92" s="185"/>
      <c r="O92" s="185"/>
      <c r="P92" s="185"/>
      <c r="Q92" s="185"/>
      <c r="R92" s="185"/>
      <c r="S92" s="185"/>
      <c r="T92" s="185"/>
      <c r="U92" s="185"/>
      <c r="V92" s="185"/>
      <c r="W92" s="185"/>
      <c r="X92" s="185"/>
      <c r="Y92" s="185"/>
      <c r="Z92" s="185"/>
      <c r="AA92" s="185"/>
      <c r="AB92" s="185"/>
      <c r="AC92" s="185"/>
      <c r="AD92" s="185"/>
      <c r="AE92" s="185"/>
      <c r="AF92" s="185"/>
      <c r="AG92" s="185"/>
      <c r="AH92" s="185"/>
      <c r="AI92" s="185"/>
      <c r="AJ92" s="185"/>
      <c r="AK92" s="186"/>
      <c r="AL92" s="186"/>
      <c r="AM92" s="186"/>
      <c r="AN92" s="186"/>
      <c r="AO92" s="186"/>
      <c r="AP92" s="186"/>
      <c r="AQ92" s="187"/>
      <c r="AR92" s="186"/>
      <c r="AS92" s="186"/>
      <c r="AT92" s="186"/>
      <c r="AU92" s="186"/>
      <c r="AV92" s="186"/>
      <c r="AW92" s="186"/>
      <c r="AX92" s="186"/>
      <c r="AY92" s="186"/>
      <c r="AZ92" s="186"/>
      <c r="BA92" s="186"/>
      <c r="BB92" s="186"/>
      <c r="BC92" s="149"/>
    </row>
    <row r="93" spans="1:55" ht="72" customHeight="1" x14ac:dyDescent="0.2">
      <c r="A93" s="870">
        <v>10</v>
      </c>
      <c r="B93" s="154" t="s">
        <v>1704</v>
      </c>
      <c r="C93" s="155" t="s">
        <v>1705</v>
      </c>
      <c r="D93" s="156" t="s">
        <v>21</v>
      </c>
      <c r="E93" s="156" t="s">
        <v>1890</v>
      </c>
      <c r="F93" s="155" t="s">
        <v>1706</v>
      </c>
      <c r="G93" s="157" t="s">
        <v>1679</v>
      </c>
      <c r="H93" s="157" t="s">
        <v>1680</v>
      </c>
      <c r="I93" s="158" t="s">
        <v>1906</v>
      </c>
      <c r="J93" s="159">
        <f>+$N$3</f>
        <v>2019</v>
      </c>
      <c r="K93" s="157" t="s">
        <v>1923</v>
      </c>
      <c r="L93" s="158" t="s">
        <v>1951</v>
      </c>
      <c r="M93" s="155" t="s">
        <v>1707</v>
      </c>
      <c r="N93" s="155" t="s">
        <v>1708</v>
      </c>
      <c r="O93" s="155" t="s">
        <v>1709</v>
      </c>
      <c r="P93" s="155" t="s">
        <v>1961</v>
      </c>
      <c r="Q93" s="155" t="s">
        <v>1952</v>
      </c>
      <c r="R93" s="160">
        <f>SUM(R94:R100)</f>
        <v>0</v>
      </c>
      <c r="S93" s="161">
        <f t="shared" ref="S93:AK93" si="54">SUM(S94:S100)</f>
        <v>0</v>
      </c>
      <c r="T93" s="162">
        <f t="shared" si="54"/>
        <v>0</v>
      </c>
      <c r="U93" s="163">
        <f t="shared" si="54"/>
        <v>0</v>
      </c>
      <c r="V93" s="162">
        <f t="shared" si="54"/>
        <v>0</v>
      </c>
      <c r="W93" s="163">
        <f t="shared" si="54"/>
        <v>0</v>
      </c>
      <c r="X93" s="162">
        <f t="shared" si="54"/>
        <v>0</v>
      </c>
      <c r="Y93" s="163">
        <f t="shared" si="54"/>
        <v>0</v>
      </c>
      <c r="Z93" s="162">
        <f t="shared" si="54"/>
        <v>0</v>
      </c>
      <c r="AA93" s="163">
        <f t="shared" si="54"/>
        <v>0</v>
      </c>
      <c r="AB93" s="162">
        <f t="shared" si="54"/>
        <v>0</v>
      </c>
      <c r="AC93" s="163">
        <f t="shared" si="54"/>
        <v>0</v>
      </c>
      <c r="AD93" s="162">
        <f t="shared" si="54"/>
        <v>0</v>
      </c>
      <c r="AE93" s="163">
        <f t="shared" si="54"/>
        <v>0</v>
      </c>
      <c r="AF93" s="162">
        <f t="shared" si="54"/>
        <v>0</v>
      </c>
      <c r="AG93" s="164">
        <f t="shared" si="54"/>
        <v>0</v>
      </c>
      <c r="AH93" s="162">
        <f t="shared" si="54"/>
        <v>0</v>
      </c>
      <c r="AI93" s="163">
        <f t="shared" si="54"/>
        <v>0</v>
      </c>
      <c r="AJ93" s="165">
        <f t="shared" si="54"/>
        <v>0</v>
      </c>
      <c r="AK93" s="166">
        <f t="shared" si="54"/>
        <v>0</v>
      </c>
      <c r="AL93" s="849"/>
      <c r="AM93" s="850"/>
      <c r="AN93" s="850"/>
      <c r="AO93" s="850"/>
      <c r="AP93" s="850"/>
      <c r="AQ93" s="850"/>
      <c r="AR93" s="851"/>
      <c r="AS93" s="852"/>
      <c r="AT93" s="850"/>
      <c r="AU93" s="851"/>
      <c r="AV93" s="852"/>
      <c r="AW93" s="850"/>
      <c r="AX93" s="850"/>
      <c r="AY93" s="850"/>
      <c r="AZ93" s="853"/>
      <c r="BA93" s="41" t="s">
        <v>1685</v>
      </c>
      <c r="BB93" s="41" t="s">
        <v>1954</v>
      </c>
      <c r="BC93" s="42" t="s">
        <v>1686</v>
      </c>
    </row>
    <row r="94" spans="1:55" ht="22.5" customHeight="1" x14ac:dyDescent="0.2">
      <c r="A94" s="871"/>
      <c r="B94" s="873" t="str">
        <f>VLOOKUP($D$9,'PROYECTOS REGISTRADOS'!$A$2:$D$82,4,0)</f>
        <v>Construcción y mantenimiento de infraestructura municipal Tocancipá, Cundinamarca, Centro Oriente</v>
      </c>
      <c r="C94" s="876" t="str">
        <f>VLOOKUP($D$9,'PROYECTOS REGISTRADOS'!$A$2:$D$82,3,0)</f>
        <v>2016-25817-0036</v>
      </c>
      <c r="D94" s="879" t="s">
        <v>1031</v>
      </c>
      <c r="E94" s="882" t="str">
        <f>IF(D94=0,"0-0",(VLOOKUP(D94,'CONSOLIDADO PLAN DESARROLLO'!$EL$9:$ET$304,2,0)))</f>
        <v>Realizar el mantenimiento de infraestructuras culturales</v>
      </c>
      <c r="F94" s="885" t="str">
        <f>IF(D94=0,"0-0",(VLOOKUP(D94,'CONSOLIDADO PLAN DESARROLLO'!$EL$9:$ET$304,3,0)))</f>
        <v>infraestructuras mantenidas</v>
      </c>
      <c r="G94" s="888">
        <f>IF(D94=0,"0-0",(VLOOKUP(D94,'CONSOLIDADO PLAN DESARROLLO'!$EL$9:$ET$304,4,0)))</f>
        <v>3</v>
      </c>
      <c r="H94" s="891">
        <f>IF(D94=0,"0-0",(VLOOKUP(D94,'CONSOLIDADO PLAN DESARROLLO'!$EL$9:$ET$304,5,0)))</f>
        <v>3</v>
      </c>
      <c r="I94" s="894">
        <f>IF(D94=0,"0-0",(VLOOKUP(D94,'CONSOLIDADO PLAN DESARROLLO'!$EL$9:$ET$304,$R$3,0)))</f>
        <v>1</v>
      </c>
      <c r="J94" s="895"/>
      <c r="K94" s="906">
        <v>0</v>
      </c>
      <c r="L94" s="909">
        <v>0</v>
      </c>
      <c r="M94" s="797" t="s">
        <v>1935</v>
      </c>
      <c r="N94" s="798" t="s">
        <v>1928</v>
      </c>
      <c r="O94" s="800">
        <v>3</v>
      </c>
      <c r="P94" s="43">
        <v>0</v>
      </c>
      <c r="Q94" s="43">
        <v>0</v>
      </c>
      <c r="R94" s="912">
        <f>VLOOKUP($D94,'[4]Tablero Logro Metas 2019'!$AK$7:$AS$302,3,0)</f>
        <v>0</v>
      </c>
      <c r="S94" s="44">
        <v>0</v>
      </c>
      <c r="T94" s="915">
        <f>VLOOKUP($D94,'[4]Tablero Logro Metas 2019'!$AK$7:$AS$302,4,0)</f>
        <v>0</v>
      </c>
      <c r="U94" s="44">
        <v>0</v>
      </c>
      <c r="V94" s="915">
        <f>VLOOKUP($D94,'[4]Tablero Logro Metas 2019'!$AK$7:$AS$302,5,0)</f>
        <v>0</v>
      </c>
      <c r="W94" s="44">
        <v>0</v>
      </c>
      <c r="X94" s="915">
        <f>VLOOKUP($D94,'[4]Tablero Logro Metas 2019'!$AK$7:$AS$302,6,0)</f>
        <v>0</v>
      </c>
      <c r="Y94" s="44">
        <v>0</v>
      </c>
      <c r="Z94" s="915">
        <f>VLOOKUP($D94,'[4]Tablero Logro Metas 2019'!$AK$7:$AS$302,7,0)</f>
        <v>0</v>
      </c>
      <c r="AA94" s="44">
        <v>0</v>
      </c>
      <c r="AB94" s="915">
        <f>VLOOKUP($D94,'[4]Tablero Logro Metas 2019'!$AK$7:$AS$302,8,0)</f>
        <v>0</v>
      </c>
      <c r="AC94" s="44">
        <v>0</v>
      </c>
      <c r="AD94" s="915">
        <f>VLOOKUP($D94,'[4]Tablero Logro Metas 2019'!$AK$7:$AS$302,9,0)</f>
        <v>0</v>
      </c>
      <c r="AE94" s="44">
        <v>0</v>
      </c>
      <c r="AF94" s="900"/>
      <c r="AG94" s="44">
        <v>0</v>
      </c>
      <c r="AH94" s="900"/>
      <c r="AI94" s="44">
        <v>0</v>
      </c>
      <c r="AJ94" s="903">
        <f>+R94+T94+V94+X94+Z94+AB94+AD94+AF94+AH94</f>
        <v>0</v>
      </c>
      <c r="AK94" s="99">
        <f t="shared" ref="AK94:AK99" si="55">AC94+AE94+AG94+S94+U94+W94+Y94+AA94+AI94</f>
        <v>0</v>
      </c>
      <c r="AL94" s="47">
        <v>0</v>
      </c>
      <c r="AM94" s="48">
        <v>0</v>
      </c>
      <c r="AN94" s="48">
        <v>0</v>
      </c>
      <c r="AO94" s="48">
        <v>0</v>
      </c>
      <c r="AP94" s="48">
        <v>0</v>
      </c>
      <c r="AQ94" s="48">
        <v>0</v>
      </c>
      <c r="AR94" s="49">
        <f t="shared" ref="AR94:AR96" si="56">SUM(AL94:AQ94)</f>
        <v>0</v>
      </c>
      <c r="AS94" s="50">
        <v>0</v>
      </c>
      <c r="AT94" s="48">
        <v>0</v>
      </c>
      <c r="AU94" s="49">
        <f t="shared" ref="AU94:AU96" si="57">SUM(AS94:AT94)</f>
        <v>0</v>
      </c>
      <c r="AV94" s="50">
        <v>0</v>
      </c>
      <c r="AW94" s="48">
        <v>0</v>
      </c>
      <c r="AX94" s="48">
        <v>0</v>
      </c>
      <c r="AY94" s="48">
        <v>0</v>
      </c>
      <c r="AZ94" s="51">
        <v>0</v>
      </c>
      <c r="BA94" s="52"/>
      <c r="BB94" s="52"/>
      <c r="BC94" s="53" t="s">
        <v>1964</v>
      </c>
    </row>
    <row r="95" spans="1:55" ht="17.25" customHeight="1" x14ac:dyDescent="0.2">
      <c r="A95" s="871"/>
      <c r="B95" s="873"/>
      <c r="C95" s="876"/>
      <c r="D95" s="879"/>
      <c r="E95" s="883"/>
      <c r="F95" s="885"/>
      <c r="G95" s="888"/>
      <c r="H95" s="891"/>
      <c r="I95" s="896"/>
      <c r="J95" s="897"/>
      <c r="K95" s="906"/>
      <c r="L95" s="910"/>
      <c r="M95" s="797" t="s">
        <v>1939</v>
      </c>
      <c r="N95" s="798" t="s">
        <v>1928</v>
      </c>
      <c r="O95" s="800">
        <v>3</v>
      </c>
      <c r="P95" s="43">
        <v>0</v>
      </c>
      <c r="Q95" s="43">
        <v>0</v>
      </c>
      <c r="R95" s="913"/>
      <c r="S95" s="44">
        <v>0</v>
      </c>
      <c r="T95" s="916"/>
      <c r="U95" s="44">
        <v>0</v>
      </c>
      <c r="V95" s="916"/>
      <c r="W95" s="44">
        <v>0</v>
      </c>
      <c r="X95" s="916"/>
      <c r="Y95" s="44">
        <v>0</v>
      </c>
      <c r="Z95" s="916"/>
      <c r="AA95" s="44">
        <v>0</v>
      </c>
      <c r="AB95" s="916"/>
      <c r="AC95" s="44">
        <v>0</v>
      </c>
      <c r="AD95" s="916"/>
      <c r="AE95" s="44">
        <v>0</v>
      </c>
      <c r="AF95" s="901"/>
      <c r="AG95" s="44">
        <v>0</v>
      </c>
      <c r="AH95" s="901"/>
      <c r="AI95" s="44">
        <v>0</v>
      </c>
      <c r="AJ95" s="904"/>
      <c r="AK95" s="99">
        <f t="shared" si="55"/>
        <v>0</v>
      </c>
      <c r="AL95" s="47">
        <v>0</v>
      </c>
      <c r="AM95" s="48">
        <v>0</v>
      </c>
      <c r="AN95" s="48">
        <v>0</v>
      </c>
      <c r="AO95" s="48">
        <v>0</v>
      </c>
      <c r="AP95" s="48">
        <v>0</v>
      </c>
      <c r="AQ95" s="48">
        <v>0</v>
      </c>
      <c r="AR95" s="49">
        <f t="shared" si="56"/>
        <v>0</v>
      </c>
      <c r="AS95" s="50">
        <v>0</v>
      </c>
      <c r="AT95" s="48">
        <v>0</v>
      </c>
      <c r="AU95" s="49">
        <f t="shared" si="57"/>
        <v>0</v>
      </c>
      <c r="AV95" s="50">
        <v>0</v>
      </c>
      <c r="AW95" s="48">
        <v>0</v>
      </c>
      <c r="AX95" s="48">
        <v>0</v>
      </c>
      <c r="AY95" s="48">
        <v>0</v>
      </c>
      <c r="AZ95" s="51">
        <v>0</v>
      </c>
      <c r="BA95" s="52"/>
      <c r="BB95" s="52"/>
      <c r="BC95" s="53" t="s">
        <v>1964</v>
      </c>
    </row>
    <row r="96" spans="1:55" ht="17.25" customHeight="1" x14ac:dyDescent="0.2">
      <c r="A96" s="871"/>
      <c r="B96" s="873"/>
      <c r="C96" s="876"/>
      <c r="D96" s="879"/>
      <c r="E96" s="883"/>
      <c r="F96" s="885"/>
      <c r="G96" s="888"/>
      <c r="H96" s="891"/>
      <c r="I96" s="896"/>
      <c r="J96" s="897"/>
      <c r="K96" s="906"/>
      <c r="L96" s="910"/>
      <c r="M96" s="797" t="s">
        <v>1934</v>
      </c>
      <c r="N96" s="798" t="s">
        <v>1928</v>
      </c>
      <c r="O96" s="800">
        <v>3</v>
      </c>
      <c r="P96" s="43">
        <v>0</v>
      </c>
      <c r="Q96" s="43">
        <v>0</v>
      </c>
      <c r="R96" s="913"/>
      <c r="S96" s="44">
        <v>0</v>
      </c>
      <c r="T96" s="916"/>
      <c r="U96" s="44">
        <v>0</v>
      </c>
      <c r="V96" s="916"/>
      <c r="W96" s="44">
        <v>0</v>
      </c>
      <c r="X96" s="916"/>
      <c r="Y96" s="44">
        <v>0</v>
      </c>
      <c r="Z96" s="916"/>
      <c r="AA96" s="44">
        <v>0</v>
      </c>
      <c r="AB96" s="916"/>
      <c r="AC96" s="44">
        <v>0</v>
      </c>
      <c r="AD96" s="916"/>
      <c r="AE96" s="44">
        <v>0</v>
      </c>
      <c r="AF96" s="901"/>
      <c r="AG96" s="44">
        <v>0</v>
      </c>
      <c r="AH96" s="901"/>
      <c r="AI96" s="44">
        <v>0</v>
      </c>
      <c r="AJ96" s="904"/>
      <c r="AK96" s="99">
        <f t="shared" si="55"/>
        <v>0</v>
      </c>
      <c r="AL96" s="47">
        <v>0</v>
      </c>
      <c r="AM96" s="48">
        <v>0</v>
      </c>
      <c r="AN96" s="48">
        <v>0</v>
      </c>
      <c r="AO96" s="48">
        <v>0</v>
      </c>
      <c r="AP96" s="48">
        <v>0</v>
      </c>
      <c r="AQ96" s="48">
        <v>0</v>
      </c>
      <c r="AR96" s="49">
        <f t="shared" si="56"/>
        <v>0</v>
      </c>
      <c r="AS96" s="50">
        <v>0</v>
      </c>
      <c r="AT96" s="48">
        <v>0</v>
      </c>
      <c r="AU96" s="49">
        <f t="shared" si="57"/>
        <v>0</v>
      </c>
      <c r="AV96" s="50">
        <v>0</v>
      </c>
      <c r="AW96" s="48">
        <v>0</v>
      </c>
      <c r="AX96" s="48">
        <v>0</v>
      </c>
      <c r="AY96" s="48">
        <v>0</v>
      </c>
      <c r="AZ96" s="51">
        <v>0</v>
      </c>
      <c r="BA96" s="52"/>
      <c r="BB96" s="52"/>
      <c r="BC96" s="53" t="s">
        <v>1964</v>
      </c>
    </row>
    <row r="97" spans="1:55" ht="17.25" customHeight="1" x14ac:dyDescent="0.2">
      <c r="A97" s="871"/>
      <c r="B97" s="873"/>
      <c r="C97" s="876"/>
      <c r="D97" s="879"/>
      <c r="E97" s="883"/>
      <c r="F97" s="885"/>
      <c r="G97" s="888"/>
      <c r="H97" s="891"/>
      <c r="I97" s="896"/>
      <c r="J97" s="897"/>
      <c r="K97" s="906"/>
      <c r="L97" s="910"/>
      <c r="M97" s="167"/>
      <c r="N97" s="168"/>
      <c r="O97" s="169"/>
      <c r="P97" s="43"/>
      <c r="Q97" s="43"/>
      <c r="R97" s="913"/>
      <c r="S97" s="44"/>
      <c r="T97" s="916"/>
      <c r="U97" s="45"/>
      <c r="V97" s="916"/>
      <c r="W97" s="45"/>
      <c r="X97" s="916"/>
      <c r="Y97" s="45"/>
      <c r="Z97" s="916"/>
      <c r="AA97" s="45"/>
      <c r="AB97" s="916"/>
      <c r="AC97" s="45"/>
      <c r="AD97" s="916"/>
      <c r="AE97" s="45"/>
      <c r="AF97" s="901"/>
      <c r="AG97" s="46"/>
      <c r="AH97" s="901"/>
      <c r="AI97" s="45"/>
      <c r="AJ97" s="904"/>
      <c r="AK97" s="99">
        <f t="shared" si="55"/>
        <v>0</v>
      </c>
      <c r="AL97" s="47"/>
      <c r="AM97" s="48"/>
      <c r="AN97" s="48"/>
      <c r="AO97" s="48"/>
      <c r="AP97" s="48"/>
      <c r="AQ97" s="48"/>
      <c r="AR97" s="49">
        <f t="shared" ref="AR97:AR99" si="58">SUM(AL97:AQ97)</f>
        <v>0</v>
      </c>
      <c r="AS97" s="50"/>
      <c r="AT97" s="48"/>
      <c r="AU97" s="49">
        <f t="shared" ref="AU97:AU98" si="59">SUM(AS97:AT97)</f>
        <v>0</v>
      </c>
      <c r="AV97" s="50"/>
      <c r="AW97" s="48"/>
      <c r="AX97" s="48"/>
      <c r="AY97" s="48"/>
      <c r="AZ97" s="51"/>
      <c r="BA97" s="52"/>
      <c r="BB97" s="52"/>
      <c r="BC97" s="53"/>
    </row>
    <row r="98" spans="1:55" ht="17.25" customHeight="1" x14ac:dyDescent="0.2">
      <c r="A98" s="871"/>
      <c r="B98" s="873"/>
      <c r="C98" s="876"/>
      <c r="D98" s="879"/>
      <c r="E98" s="883"/>
      <c r="F98" s="885"/>
      <c r="G98" s="888"/>
      <c r="H98" s="891"/>
      <c r="I98" s="896"/>
      <c r="J98" s="897"/>
      <c r="K98" s="906"/>
      <c r="L98" s="910"/>
      <c r="M98" s="167"/>
      <c r="N98" s="168"/>
      <c r="O98" s="169"/>
      <c r="P98" s="43"/>
      <c r="Q98" s="43"/>
      <c r="R98" s="913"/>
      <c r="S98" s="44"/>
      <c r="T98" s="916"/>
      <c r="U98" s="45"/>
      <c r="V98" s="916"/>
      <c r="W98" s="45"/>
      <c r="X98" s="916"/>
      <c r="Y98" s="45"/>
      <c r="Z98" s="916"/>
      <c r="AA98" s="45"/>
      <c r="AB98" s="916"/>
      <c r="AC98" s="45"/>
      <c r="AD98" s="916"/>
      <c r="AE98" s="45"/>
      <c r="AF98" s="901"/>
      <c r="AG98" s="46"/>
      <c r="AH98" s="901"/>
      <c r="AI98" s="45"/>
      <c r="AJ98" s="904"/>
      <c r="AK98" s="99">
        <f t="shared" si="55"/>
        <v>0</v>
      </c>
      <c r="AL98" s="47"/>
      <c r="AM98" s="48"/>
      <c r="AN98" s="48"/>
      <c r="AO98" s="48"/>
      <c r="AP98" s="48"/>
      <c r="AQ98" s="48"/>
      <c r="AR98" s="49">
        <f t="shared" si="58"/>
        <v>0</v>
      </c>
      <c r="AS98" s="50"/>
      <c r="AT98" s="48"/>
      <c r="AU98" s="49">
        <f t="shared" si="59"/>
        <v>0</v>
      </c>
      <c r="AV98" s="50"/>
      <c r="AW98" s="48"/>
      <c r="AX98" s="48"/>
      <c r="AY98" s="48"/>
      <c r="AZ98" s="51"/>
      <c r="BA98" s="52"/>
      <c r="BB98" s="52"/>
      <c r="BC98" s="53"/>
    </row>
    <row r="99" spans="1:55" ht="17.25" customHeight="1" x14ac:dyDescent="0.2">
      <c r="A99" s="871"/>
      <c r="B99" s="874"/>
      <c r="C99" s="877"/>
      <c r="D99" s="880"/>
      <c r="E99" s="883"/>
      <c r="F99" s="886"/>
      <c r="G99" s="889"/>
      <c r="H99" s="892"/>
      <c r="I99" s="896"/>
      <c r="J99" s="897"/>
      <c r="K99" s="907"/>
      <c r="L99" s="910"/>
      <c r="M99" s="170"/>
      <c r="N99" s="171"/>
      <c r="O99" s="172"/>
      <c r="P99" s="100"/>
      <c r="Q99" s="100"/>
      <c r="R99" s="913"/>
      <c r="S99" s="101"/>
      <c r="T99" s="916"/>
      <c r="U99" s="102"/>
      <c r="V99" s="916"/>
      <c r="W99" s="102"/>
      <c r="X99" s="916"/>
      <c r="Y99" s="102"/>
      <c r="Z99" s="916"/>
      <c r="AA99" s="102"/>
      <c r="AB99" s="916"/>
      <c r="AC99" s="102"/>
      <c r="AD99" s="916"/>
      <c r="AE99" s="102"/>
      <c r="AF99" s="901"/>
      <c r="AG99" s="103"/>
      <c r="AH99" s="901"/>
      <c r="AI99" s="102"/>
      <c r="AJ99" s="905"/>
      <c r="AK99" s="99">
        <f t="shared" si="55"/>
        <v>0</v>
      </c>
      <c r="AL99" s="104"/>
      <c r="AM99" s="105"/>
      <c r="AN99" s="105"/>
      <c r="AO99" s="105"/>
      <c r="AP99" s="105"/>
      <c r="AQ99" s="105"/>
      <c r="AR99" s="49">
        <f t="shared" si="58"/>
        <v>0</v>
      </c>
      <c r="AS99" s="106"/>
      <c r="AT99" s="105"/>
      <c r="AU99" s="49">
        <f>SUM(AS99:AT99)</f>
        <v>0</v>
      </c>
      <c r="AV99" s="106"/>
      <c r="AW99" s="105"/>
      <c r="AX99" s="105"/>
      <c r="AY99" s="105"/>
      <c r="AZ99" s="107"/>
      <c r="BA99" s="108"/>
      <c r="BB99" s="108"/>
      <c r="BC99" s="109"/>
    </row>
    <row r="100" spans="1:55" ht="9.9499999999999993" customHeight="1" thickBot="1" x14ac:dyDescent="0.25">
      <c r="A100" s="872"/>
      <c r="B100" s="875"/>
      <c r="C100" s="878"/>
      <c r="D100" s="881"/>
      <c r="E100" s="884"/>
      <c r="F100" s="887"/>
      <c r="G100" s="890"/>
      <c r="H100" s="893"/>
      <c r="I100" s="898"/>
      <c r="J100" s="899"/>
      <c r="K100" s="908"/>
      <c r="L100" s="911"/>
      <c r="M100" s="173"/>
      <c r="N100" s="174"/>
      <c r="O100" s="175"/>
      <c r="P100" s="110"/>
      <c r="Q100" s="110"/>
      <c r="R100" s="914"/>
      <c r="S100" s="176"/>
      <c r="T100" s="917"/>
      <c r="U100" s="177"/>
      <c r="V100" s="917"/>
      <c r="W100" s="177"/>
      <c r="X100" s="917"/>
      <c r="Y100" s="177"/>
      <c r="Z100" s="917"/>
      <c r="AA100" s="177"/>
      <c r="AB100" s="917"/>
      <c r="AC100" s="177"/>
      <c r="AD100" s="917"/>
      <c r="AE100" s="177"/>
      <c r="AF100" s="902"/>
      <c r="AG100" s="178"/>
      <c r="AH100" s="902"/>
      <c r="AI100" s="177"/>
      <c r="AJ100" s="111"/>
      <c r="AK100" s="112"/>
      <c r="AL100" s="179"/>
      <c r="AM100" s="180"/>
      <c r="AN100" s="180"/>
      <c r="AO100" s="180"/>
      <c r="AP100" s="180"/>
      <c r="AQ100" s="180"/>
      <c r="AR100" s="113"/>
      <c r="AS100" s="181"/>
      <c r="AT100" s="180"/>
      <c r="AU100" s="113"/>
      <c r="AV100" s="181"/>
      <c r="AW100" s="180"/>
      <c r="AX100" s="180"/>
      <c r="AY100" s="180"/>
      <c r="AZ100" s="182"/>
      <c r="BA100" s="183"/>
      <c r="BB100" s="183"/>
      <c r="BC100" s="184"/>
    </row>
    <row r="101" spans="1:55" ht="6" customHeight="1" x14ac:dyDescent="0.2">
      <c r="A101" s="149"/>
      <c r="B101" s="185"/>
      <c r="C101" s="185"/>
      <c r="D101" s="185"/>
      <c r="E101" s="185"/>
      <c r="F101" s="185"/>
      <c r="G101" s="185"/>
      <c r="H101" s="185"/>
      <c r="I101" s="918"/>
      <c r="J101" s="918"/>
      <c r="K101" s="185"/>
      <c r="L101" s="185"/>
      <c r="M101" s="185"/>
      <c r="N101" s="185"/>
      <c r="O101" s="185"/>
      <c r="P101" s="185"/>
      <c r="Q101" s="185"/>
      <c r="R101" s="185"/>
      <c r="S101" s="185"/>
      <c r="T101" s="185"/>
      <c r="U101" s="185"/>
      <c r="V101" s="185"/>
      <c r="W101" s="185"/>
      <c r="X101" s="185"/>
      <c r="Y101" s="185"/>
      <c r="Z101" s="185"/>
      <c r="AA101" s="185"/>
      <c r="AB101" s="185"/>
      <c r="AC101" s="185"/>
      <c r="AD101" s="185"/>
      <c r="AE101" s="185"/>
      <c r="AF101" s="185"/>
      <c r="AG101" s="185"/>
      <c r="AH101" s="185"/>
      <c r="AI101" s="185"/>
      <c r="AJ101" s="185"/>
      <c r="AK101" s="186"/>
      <c r="AL101" s="186"/>
      <c r="AM101" s="186"/>
      <c r="AN101" s="186"/>
      <c r="AO101" s="186"/>
      <c r="AP101" s="186"/>
      <c r="AQ101" s="187"/>
      <c r="AR101" s="186"/>
      <c r="AS101" s="186"/>
      <c r="AT101" s="186"/>
      <c r="AU101" s="186"/>
      <c r="AV101" s="186"/>
      <c r="AW101" s="186"/>
      <c r="AX101" s="186"/>
      <c r="AY101" s="186"/>
      <c r="AZ101" s="186"/>
      <c r="BA101" s="186"/>
      <c r="BB101" s="186"/>
      <c r="BC101" s="149"/>
    </row>
    <row r="102" spans="1:55" ht="72" customHeight="1" x14ac:dyDescent="0.2">
      <c r="A102" s="870">
        <v>11</v>
      </c>
      <c r="B102" s="154" t="s">
        <v>1704</v>
      </c>
      <c r="C102" s="155" t="s">
        <v>1705</v>
      </c>
      <c r="D102" s="156" t="s">
        <v>21</v>
      </c>
      <c r="E102" s="156" t="s">
        <v>1890</v>
      </c>
      <c r="F102" s="155" t="s">
        <v>1706</v>
      </c>
      <c r="G102" s="157" t="s">
        <v>1679</v>
      </c>
      <c r="H102" s="157" t="s">
        <v>1680</v>
      </c>
      <c r="I102" s="158" t="s">
        <v>1906</v>
      </c>
      <c r="J102" s="159">
        <f>+$N$3</f>
        <v>2019</v>
      </c>
      <c r="K102" s="157" t="s">
        <v>1923</v>
      </c>
      <c r="L102" s="158" t="s">
        <v>1951</v>
      </c>
      <c r="M102" s="155" t="s">
        <v>1707</v>
      </c>
      <c r="N102" s="155" t="s">
        <v>1708</v>
      </c>
      <c r="O102" s="155" t="s">
        <v>1709</v>
      </c>
      <c r="P102" s="155" t="s">
        <v>1961</v>
      </c>
      <c r="Q102" s="155" t="s">
        <v>1952</v>
      </c>
      <c r="R102" s="160">
        <f>SUM(R103:R109)</f>
        <v>0</v>
      </c>
      <c r="S102" s="161">
        <f t="shared" ref="S102:AK102" si="60">SUM(S103:S109)</f>
        <v>0</v>
      </c>
      <c r="T102" s="162">
        <f t="shared" si="60"/>
        <v>0</v>
      </c>
      <c r="U102" s="163">
        <f t="shared" si="60"/>
        <v>0</v>
      </c>
      <c r="V102" s="162">
        <f t="shared" si="60"/>
        <v>0</v>
      </c>
      <c r="W102" s="163">
        <f t="shared" si="60"/>
        <v>0</v>
      </c>
      <c r="X102" s="162">
        <f t="shared" si="60"/>
        <v>0</v>
      </c>
      <c r="Y102" s="163">
        <f t="shared" si="60"/>
        <v>0</v>
      </c>
      <c r="Z102" s="162">
        <f t="shared" si="60"/>
        <v>6100926258</v>
      </c>
      <c r="AA102" s="163">
        <f t="shared" si="60"/>
        <v>4265999998</v>
      </c>
      <c r="AB102" s="162">
        <f t="shared" si="60"/>
        <v>0</v>
      </c>
      <c r="AC102" s="163">
        <f t="shared" si="60"/>
        <v>0</v>
      </c>
      <c r="AD102" s="162">
        <f t="shared" si="60"/>
        <v>0</v>
      </c>
      <c r="AE102" s="163">
        <f t="shared" si="60"/>
        <v>0</v>
      </c>
      <c r="AF102" s="162">
        <f t="shared" si="60"/>
        <v>0</v>
      </c>
      <c r="AG102" s="164">
        <f t="shared" si="60"/>
        <v>0</v>
      </c>
      <c r="AH102" s="162">
        <f t="shared" si="60"/>
        <v>0</v>
      </c>
      <c r="AI102" s="163">
        <f t="shared" si="60"/>
        <v>0</v>
      </c>
      <c r="AJ102" s="165">
        <f t="shared" si="60"/>
        <v>6100926258</v>
      </c>
      <c r="AK102" s="166">
        <f t="shared" si="60"/>
        <v>4265999998</v>
      </c>
      <c r="AL102" s="849"/>
      <c r="AM102" s="850"/>
      <c r="AN102" s="850"/>
      <c r="AO102" s="850"/>
      <c r="AP102" s="850"/>
      <c r="AQ102" s="850"/>
      <c r="AR102" s="851"/>
      <c r="AS102" s="852"/>
      <c r="AT102" s="850"/>
      <c r="AU102" s="851"/>
      <c r="AV102" s="852"/>
      <c r="AW102" s="850"/>
      <c r="AX102" s="850"/>
      <c r="AY102" s="850"/>
      <c r="AZ102" s="853"/>
      <c r="BA102" s="41" t="s">
        <v>1685</v>
      </c>
      <c r="BB102" s="41" t="s">
        <v>1954</v>
      </c>
      <c r="BC102" s="42" t="s">
        <v>1686</v>
      </c>
    </row>
    <row r="103" spans="1:55" ht="17.25" customHeight="1" x14ac:dyDescent="0.2">
      <c r="A103" s="871"/>
      <c r="B103" s="873" t="str">
        <f>VLOOKUP($D$9,'PROYECTOS REGISTRADOS'!$A$2:$D$82,4,0)</f>
        <v>Construcción y mantenimiento de infraestructura municipal Tocancipá, Cundinamarca, Centro Oriente</v>
      </c>
      <c r="C103" s="876" t="str">
        <f>VLOOKUP($D$9,'PROYECTOS REGISTRADOS'!$A$2:$D$82,3,0)</f>
        <v>2016-25817-0036</v>
      </c>
      <c r="D103" s="879" t="s">
        <v>1034</v>
      </c>
      <c r="E103" s="882" t="str">
        <f>IF(D103=0,"0-0",(VLOOKUP(D103,'CONSOLIDADO PLAN DESARROLLO'!$EL$9:$ET$304,2,0)))</f>
        <v>Realizar la construcción y ampliación de infraestructuras para la población Vulnerable</v>
      </c>
      <c r="F103" s="885" t="str">
        <f>IF(D103=0,"0-0",(VLOOKUP(D103,'CONSOLIDADO PLAN DESARROLLO'!$EL$9:$ET$304,3,0)))</f>
        <v>infraestructuras construidas o ampliadas</v>
      </c>
      <c r="G103" s="888">
        <f>IF(D103=0,"0-0",(VLOOKUP(D103,'CONSOLIDADO PLAN DESARROLLO'!$EL$9:$ET$304,4,0)))</f>
        <v>2</v>
      </c>
      <c r="H103" s="891">
        <f>IF(D103=0,"0-0",(VLOOKUP(D103,'CONSOLIDADO PLAN DESARROLLO'!$EL$9:$ET$304,5,0)))</f>
        <v>6</v>
      </c>
      <c r="I103" s="894">
        <f>IF(D103=0,"0-0",(VLOOKUP(D103,'CONSOLIDADO PLAN DESARROLLO'!$EL$9:$ET$304,$R$3,0)))</f>
        <v>0</v>
      </c>
      <c r="J103" s="895"/>
      <c r="K103" s="906">
        <v>1</v>
      </c>
      <c r="L103" s="909">
        <v>1</v>
      </c>
      <c r="M103" s="797" t="s">
        <v>1938</v>
      </c>
      <c r="N103" s="798" t="s">
        <v>1928</v>
      </c>
      <c r="O103" s="800">
        <v>3</v>
      </c>
      <c r="P103" s="43">
        <v>0</v>
      </c>
      <c r="Q103" s="43">
        <v>0</v>
      </c>
      <c r="R103" s="912">
        <f>VLOOKUP($D103,'[4]Tablero Logro Metas 2019'!$AK$7:$AS$302,3,0)</f>
        <v>0</v>
      </c>
      <c r="S103" s="44">
        <v>0</v>
      </c>
      <c r="T103" s="915">
        <f>VLOOKUP($D103,'[4]Tablero Logro Metas 2019'!$AK$7:$AS$302,4,0)</f>
        <v>0</v>
      </c>
      <c r="U103" s="44">
        <v>0</v>
      </c>
      <c r="V103" s="915">
        <f>VLOOKUP($D103,'[4]Tablero Logro Metas 2019'!$AK$7:$AS$302,5,0)</f>
        <v>0</v>
      </c>
      <c r="W103" s="44">
        <v>0</v>
      </c>
      <c r="X103" s="915">
        <f>VLOOKUP($D103,'[4]Tablero Logro Metas 2019'!$AK$7:$AS$302,6,0)</f>
        <v>0</v>
      </c>
      <c r="Y103" s="44">
        <v>0</v>
      </c>
      <c r="Z103" s="915">
        <f>VLOOKUP($D103,'[4]Tablero Logro Metas 2019'!$AK$7:$AS$302,7,0)</f>
        <v>6100926258</v>
      </c>
      <c r="AA103" s="45">
        <v>0</v>
      </c>
      <c r="AB103" s="915">
        <f>VLOOKUP($D103,'[4]Tablero Logro Metas 2019'!$AK$7:$AS$302,8,0)</f>
        <v>0</v>
      </c>
      <c r="AC103" s="45">
        <v>0</v>
      </c>
      <c r="AD103" s="915">
        <f>VLOOKUP($D103,'[4]Tablero Logro Metas 2019'!$AK$7:$AS$302,9,0)</f>
        <v>0</v>
      </c>
      <c r="AE103" s="44">
        <v>0</v>
      </c>
      <c r="AF103" s="900"/>
      <c r="AG103" s="44">
        <v>0</v>
      </c>
      <c r="AH103" s="900"/>
      <c r="AI103" s="44">
        <v>0</v>
      </c>
      <c r="AJ103" s="903">
        <f>+R103+T103+V103+X103+Z103+AB103+AD103+AF103+AH103</f>
        <v>6100926258</v>
      </c>
      <c r="AK103" s="99">
        <f t="shared" ref="AK103:AK108" si="61">AC103+AE103+AG103+S103+U103+W103+Y103+AA103+AI103</f>
        <v>0</v>
      </c>
      <c r="AL103" s="47">
        <v>0</v>
      </c>
      <c r="AM103" s="48">
        <v>0</v>
      </c>
      <c r="AN103" s="48">
        <v>0</v>
      </c>
      <c r="AO103" s="48">
        <v>0</v>
      </c>
      <c r="AP103" s="48">
        <v>0</v>
      </c>
      <c r="AQ103" s="48">
        <v>0</v>
      </c>
      <c r="AR103" s="49">
        <f t="shared" ref="AR103:AR104" si="62">SUM(AL103:AQ103)</f>
        <v>0</v>
      </c>
      <c r="AS103" s="50">
        <v>0</v>
      </c>
      <c r="AT103" s="48">
        <v>0</v>
      </c>
      <c r="AU103" s="49">
        <f t="shared" ref="AU103:AU104" si="63">SUM(AS103:AT103)</f>
        <v>0</v>
      </c>
      <c r="AV103" s="50">
        <v>0</v>
      </c>
      <c r="AW103" s="48">
        <v>0</v>
      </c>
      <c r="AX103" s="48">
        <v>0</v>
      </c>
      <c r="AY103" s="48">
        <v>0</v>
      </c>
      <c r="AZ103" s="51">
        <v>0</v>
      </c>
      <c r="BA103" s="52"/>
      <c r="BB103" s="52"/>
      <c r="BC103" s="53" t="s">
        <v>1964</v>
      </c>
    </row>
    <row r="104" spans="1:55" ht="17.25" customHeight="1" x14ac:dyDescent="0.2">
      <c r="A104" s="871"/>
      <c r="B104" s="873"/>
      <c r="C104" s="876"/>
      <c r="D104" s="879"/>
      <c r="E104" s="883"/>
      <c r="F104" s="885"/>
      <c r="G104" s="888"/>
      <c r="H104" s="891"/>
      <c r="I104" s="896"/>
      <c r="J104" s="897"/>
      <c r="K104" s="906"/>
      <c r="L104" s="910"/>
      <c r="M104" s="797" t="s">
        <v>1932</v>
      </c>
      <c r="N104" s="798" t="s">
        <v>1928</v>
      </c>
      <c r="O104" s="800">
        <v>3</v>
      </c>
      <c r="P104" s="43">
        <v>0</v>
      </c>
      <c r="Q104" s="43">
        <v>0</v>
      </c>
      <c r="R104" s="913"/>
      <c r="S104" s="44">
        <v>0</v>
      </c>
      <c r="T104" s="916"/>
      <c r="U104" s="44">
        <v>0</v>
      </c>
      <c r="V104" s="916"/>
      <c r="W104" s="44">
        <v>0</v>
      </c>
      <c r="X104" s="916"/>
      <c r="Y104" s="44">
        <v>0</v>
      </c>
      <c r="Z104" s="916"/>
      <c r="AA104" s="45">
        <v>0</v>
      </c>
      <c r="AB104" s="916"/>
      <c r="AC104" s="45">
        <v>0</v>
      </c>
      <c r="AD104" s="916"/>
      <c r="AE104" s="44">
        <v>0</v>
      </c>
      <c r="AF104" s="901"/>
      <c r="AG104" s="44">
        <v>0</v>
      </c>
      <c r="AH104" s="901"/>
      <c r="AI104" s="44">
        <v>0</v>
      </c>
      <c r="AJ104" s="904"/>
      <c r="AK104" s="99">
        <f t="shared" si="61"/>
        <v>0</v>
      </c>
      <c r="AL104" s="47">
        <v>0</v>
      </c>
      <c r="AM104" s="48">
        <v>0</v>
      </c>
      <c r="AN104" s="48">
        <v>0</v>
      </c>
      <c r="AO104" s="48">
        <v>0</v>
      </c>
      <c r="AP104" s="48">
        <v>0</v>
      </c>
      <c r="AQ104" s="48">
        <v>0</v>
      </c>
      <c r="AR104" s="49">
        <f t="shared" si="62"/>
        <v>0</v>
      </c>
      <c r="AS104" s="50">
        <v>0</v>
      </c>
      <c r="AT104" s="48">
        <v>0</v>
      </c>
      <c r="AU104" s="49">
        <f t="shared" si="63"/>
        <v>0</v>
      </c>
      <c r="AV104" s="50">
        <v>0</v>
      </c>
      <c r="AW104" s="48">
        <v>0</v>
      </c>
      <c r="AX104" s="48">
        <v>0</v>
      </c>
      <c r="AY104" s="48">
        <v>0</v>
      </c>
      <c r="AZ104" s="51">
        <v>0</v>
      </c>
      <c r="BA104" s="52"/>
      <c r="BB104" s="52"/>
      <c r="BC104" s="53" t="s">
        <v>1964</v>
      </c>
    </row>
    <row r="105" spans="1:55" ht="17.25" customHeight="1" x14ac:dyDescent="0.2">
      <c r="A105" s="871"/>
      <c r="B105" s="873"/>
      <c r="C105" s="876"/>
      <c r="D105" s="879"/>
      <c r="E105" s="883"/>
      <c r="F105" s="885"/>
      <c r="G105" s="888"/>
      <c r="H105" s="891"/>
      <c r="I105" s="896"/>
      <c r="J105" s="897"/>
      <c r="K105" s="906"/>
      <c r="L105" s="910"/>
      <c r="M105" s="797" t="s">
        <v>1944</v>
      </c>
      <c r="N105" s="798" t="s">
        <v>1928</v>
      </c>
      <c r="O105" s="800">
        <v>6</v>
      </c>
      <c r="P105" s="43">
        <v>1</v>
      </c>
      <c r="Q105" s="43">
        <v>1</v>
      </c>
      <c r="R105" s="913"/>
      <c r="S105" s="44">
        <v>0</v>
      </c>
      <c r="T105" s="916"/>
      <c r="U105" s="44">
        <v>0</v>
      </c>
      <c r="V105" s="916"/>
      <c r="W105" s="44">
        <v>0</v>
      </c>
      <c r="X105" s="916"/>
      <c r="Y105" s="44">
        <v>0</v>
      </c>
      <c r="Z105" s="916"/>
      <c r="AA105" s="45">
        <v>3950000000</v>
      </c>
      <c r="AB105" s="916"/>
      <c r="AC105" s="45">
        <v>0</v>
      </c>
      <c r="AD105" s="916"/>
      <c r="AE105" s="44">
        <v>0</v>
      </c>
      <c r="AF105" s="901"/>
      <c r="AG105" s="44">
        <v>0</v>
      </c>
      <c r="AH105" s="901"/>
      <c r="AI105" s="44">
        <v>0</v>
      </c>
      <c r="AJ105" s="904"/>
      <c r="AK105" s="99">
        <f t="shared" si="61"/>
        <v>3950000000</v>
      </c>
      <c r="AL105" s="47">
        <v>2504</v>
      </c>
      <c r="AM105" s="48">
        <v>3905</v>
      </c>
      <c r="AN105" s="48">
        <v>4211</v>
      </c>
      <c r="AO105" s="48">
        <v>8222</v>
      </c>
      <c r="AP105" s="48">
        <v>15646</v>
      </c>
      <c r="AQ105" s="48">
        <v>2553</v>
      </c>
      <c r="AR105" s="49">
        <f t="shared" ref="AR105:AR108" si="64">SUM(AL105:AQ105)</f>
        <v>37041</v>
      </c>
      <c r="AS105" s="50">
        <v>17873</v>
      </c>
      <c r="AT105" s="48">
        <v>19168</v>
      </c>
      <c r="AU105" s="49">
        <f t="shared" ref="AU105:AU107" si="65">SUM(AS105:AT105)</f>
        <v>37041</v>
      </c>
      <c r="AV105" s="50"/>
      <c r="AW105" s="48"/>
      <c r="AX105" s="48">
        <v>851</v>
      </c>
      <c r="AY105" s="48"/>
      <c r="AZ105" s="51"/>
      <c r="BA105" s="52"/>
      <c r="BB105" s="52"/>
      <c r="BC105" s="53" t="s">
        <v>1964</v>
      </c>
    </row>
    <row r="106" spans="1:55" ht="17.25" customHeight="1" x14ac:dyDescent="0.2">
      <c r="A106" s="871"/>
      <c r="B106" s="873"/>
      <c r="C106" s="876"/>
      <c r="D106" s="879"/>
      <c r="E106" s="883"/>
      <c r="F106" s="885"/>
      <c r="G106" s="888"/>
      <c r="H106" s="891"/>
      <c r="I106" s="896"/>
      <c r="J106" s="897"/>
      <c r="K106" s="906"/>
      <c r="L106" s="910"/>
      <c r="M106" s="797" t="s">
        <v>1945</v>
      </c>
      <c r="N106" s="798" t="s">
        <v>1928</v>
      </c>
      <c r="O106" s="800">
        <v>6</v>
      </c>
      <c r="P106" s="43">
        <v>1</v>
      </c>
      <c r="Q106" s="43">
        <v>1</v>
      </c>
      <c r="R106" s="913"/>
      <c r="S106" s="44">
        <v>0</v>
      </c>
      <c r="T106" s="916"/>
      <c r="U106" s="44">
        <v>0</v>
      </c>
      <c r="V106" s="916"/>
      <c r="W106" s="44">
        <v>0</v>
      </c>
      <c r="X106" s="916"/>
      <c r="Y106" s="44">
        <v>0</v>
      </c>
      <c r="Z106" s="916"/>
      <c r="AA106" s="45">
        <v>315999998</v>
      </c>
      <c r="AB106" s="916"/>
      <c r="AC106" s="45">
        <v>0</v>
      </c>
      <c r="AD106" s="916"/>
      <c r="AE106" s="44">
        <v>0</v>
      </c>
      <c r="AF106" s="901"/>
      <c r="AG106" s="44">
        <v>0</v>
      </c>
      <c r="AH106" s="901"/>
      <c r="AI106" s="44">
        <v>0</v>
      </c>
      <c r="AJ106" s="904"/>
      <c r="AK106" s="99">
        <f t="shared" si="61"/>
        <v>315999998</v>
      </c>
      <c r="AL106" s="47">
        <v>2504</v>
      </c>
      <c r="AM106" s="48">
        <v>3905</v>
      </c>
      <c r="AN106" s="48">
        <v>4211</v>
      </c>
      <c r="AO106" s="48">
        <v>8222</v>
      </c>
      <c r="AP106" s="48">
        <v>15646</v>
      </c>
      <c r="AQ106" s="48">
        <v>2553</v>
      </c>
      <c r="AR106" s="49">
        <f t="shared" si="64"/>
        <v>37041</v>
      </c>
      <c r="AS106" s="50">
        <v>17873</v>
      </c>
      <c r="AT106" s="48">
        <v>19168</v>
      </c>
      <c r="AU106" s="49">
        <f t="shared" si="65"/>
        <v>37041</v>
      </c>
      <c r="AV106" s="50"/>
      <c r="AW106" s="48"/>
      <c r="AX106" s="48">
        <v>851</v>
      </c>
      <c r="AY106" s="48"/>
      <c r="AZ106" s="51"/>
      <c r="BA106" s="52"/>
      <c r="BB106" s="52"/>
      <c r="BC106" s="53" t="s">
        <v>1964</v>
      </c>
    </row>
    <row r="107" spans="1:55" ht="17.25" customHeight="1" x14ac:dyDescent="0.2">
      <c r="A107" s="871"/>
      <c r="B107" s="873"/>
      <c r="C107" s="876"/>
      <c r="D107" s="879"/>
      <c r="E107" s="883"/>
      <c r="F107" s="885"/>
      <c r="G107" s="888"/>
      <c r="H107" s="891"/>
      <c r="I107" s="896"/>
      <c r="J107" s="897"/>
      <c r="K107" s="906"/>
      <c r="L107" s="910"/>
      <c r="M107" s="167"/>
      <c r="N107" s="168"/>
      <c r="O107" s="169"/>
      <c r="P107" s="43"/>
      <c r="Q107" s="43"/>
      <c r="R107" s="913"/>
      <c r="S107" s="44"/>
      <c r="T107" s="916"/>
      <c r="U107" s="45"/>
      <c r="V107" s="916"/>
      <c r="W107" s="45"/>
      <c r="X107" s="916"/>
      <c r="Y107" s="45"/>
      <c r="Z107" s="916"/>
      <c r="AA107" s="45"/>
      <c r="AB107" s="916"/>
      <c r="AC107" s="45"/>
      <c r="AD107" s="916"/>
      <c r="AE107" s="45"/>
      <c r="AF107" s="901"/>
      <c r="AG107" s="46"/>
      <c r="AH107" s="901"/>
      <c r="AI107" s="45"/>
      <c r="AJ107" s="904"/>
      <c r="AK107" s="99">
        <f t="shared" si="61"/>
        <v>0</v>
      </c>
      <c r="AL107" s="47"/>
      <c r="AM107" s="48"/>
      <c r="AN107" s="48"/>
      <c r="AO107" s="48"/>
      <c r="AP107" s="48"/>
      <c r="AQ107" s="48"/>
      <c r="AR107" s="49">
        <f t="shared" si="64"/>
        <v>0</v>
      </c>
      <c r="AS107" s="50"/>
      <c r="AT107" s="48"/>
      <c r="AU107" s="49">
        <f t="shared" si="65"/>
        <v>0</v>
      </c>
      <c r="AV107" s="50"/>
      <c r="AW107" s="48"/>
      <c r="AX107" s="48"/>
      <c r="AY107" s="48"/>
      <c r="AZ107" s="51"/>
      <c r="BA107" s="52"/>
      <c r="BB107" s="52"/>
      <c r="BC107" s="53"/>
    </row>
    <row r="108" spans="1:55" ht="17.25" customHeight="1" x14ac:dyDescent="0.2">
      <c r="A108" s="871"/>
      <c r="B108" s="874"/>
      <c r="C108" s="877"/>
      <c r="D108" s="880"/>
      <c r="E108" s="883"/>
      <c r="F108" s="886"/>
      <c r="G108" s="889"/>
      <c r="H108" s="892"/>
      <c r="I108" s="896"/>
      <c r="J108" s="897"/>
      <c r="K108" s="907"/>
      <c r="L108" s="910"/>
      <c r="M108" s="170"/>
      <c r="N108" s="171"/>
      <c r="O108" s="172"/>
      <c r="P108" s="100"/>
      <c r="Q108" s="100"/>
      <c r="R108" s="913"/>
      <c r="S108" s="101"/>
      <c r="T108" s="916"/>
      <c r="U108" s="102"/>
      <c r="V108" s="916"/>
      <c r="W108" s="102"/>
      <c r="X108" s="916"/>
      <c r="Y108" s="102"/>
      <c r="Z108" s="916"/>
      <c r="AA108" s="102"/>
      <c r="AB108" s="916"/>
      <c r="AC108" s="102"/>
      <c r="AD108" s="916"/>
      <c r="AE108" s="102"/>
      <c r="AF108" s="901"/>
      <c r="AG108" s="103"/>
      <c r="AH108" s="901"/>
      <c r="AI108" s="102"/>
      <c r="AJ108" s="905"/>
      <c r="AK108" s="99">
        <f t="shared" si="61"/>
        <v>0</v>
      </c>
      <c r="AL108" s="104"/>
      <c r="AM108" s="105"/>
      <c r="AN108" s="105"/>
      <c r="AO108" s="105"/>
      <c r="AP108" s="105"/>
      <c r="AQ108" s="105"/>
      <c r="AR108" s="49">
        <f t="shared" si="64"/>
        <v>0</v>
      </c>
      <c r="AS108" s="106"/>
      <c r="AT108" s="105"/>
      <c r="AU108" s="49">
        <f>SUM(AS108:AT108)</f>
        <v>0</v>
      </c>
      <c r="AV108" s="106"/>
      <c r="AW108" s="105"/>
      <c r="AX108" s="105"/>
      <c r="AY108" s="105"/>
      <c r="AZ108" s="107"/>
      <c r="BA108" s="108"/>
      <c r="BB108" s="108"/>
      <c r="BC108" s="109"/>
    </row>
    <row r="109" spans="1:55" ht="9.9499999999999993" customHeight="1" thickBot="1" x14ac:dyDescent="0.25">
      <c r="A109" s="872"/>
      <c r="B109" s="875"/>
      <c r="C109" s="878"/>
      <c r="D109" s="881"/>
      <c r="E109" s="884"/>
      <c r="F109" s="887"/>
      <c r="G109" s="890"/>
      <c r="H109" s="893"/>
      <c r="I109" s="898"/>
      <c r="J109" s="899"/>
      <c r="K109" s="908"/>
      <c r="L109" s="911"/>
      <c r="M109" s="173"/>
      <c r="N109" s="174"/>
      <c r="O109" s="175"/>
      <c r="P109" s="110"/>
      <c r="Q109" s="110"/>
      <c r="R109" s="914"/>
      <c r="S109" s="176"/>
      <c r="T109" s="917"/>
      <c r="U109" s="177"/>
      <c r="V109" s="917"/>
      <c r="W109" s="177"/>
      <c r="X109" s="917"/>
      <c r="Y109" s="177"/>
      <c r="Z109" s="917"/>
      <c r="AA109" s="177"/>
      <c r="AB109" s="917"/>
      <c r="AC109" s="177"/>
      <c r="AD109" s="917"/>
      <c r="AE109" s="177"/>
      <c r="AF109" s="902"/>
      <c r="AG109" s="178"/>
      <c r="AH109" s="902"/>
      <c r="AI109" s="177"/>
      <c r="AJ109" s="111"/>
      <c r="AK109" s="112"/>
      <c r="AL109" s="179"/>
      <c r="AM109" s="180"/>
      <c r="AN109" s="180"/>
      <c r="AO109" s="180"/>
      <c r="AP109" s="180"/>
      <c r="AQ109" s="180"/>
      <c r="AR109" s="113"/>
      <c r="AS109" s="181"/>
      <c r="AT109" s="180"/>
      <c r="AU109" s="113"/>
      <c r="AV109" s="181"/>
      <c r="AW109" s="180"/>
      <c r="AX109" s="180"/>
      <c r="AY109" s="180"/>
      <c r="AZ109" s="182"/>
      <c r="BA109" s="183"/>
      <c r="BB109" s="183"/>
      <c r="BC109" s="184"/>
    </row>
    <row r="110" spans="1:55" ht="6" customHeight="1" x14ac:dyDescent="0.2">
      <c r="A110" s="149"/>
      <c r="B110" s="185"/>
      <c r="C110" s="185"/>
      <c r="D110" s="185"/>
      <c r="E110" s="185"/>
      <c r="F110" s="185"/>
      <c r="G110" s="185"/>
      <c r="H110" s="185"/>
      <c r="I110" s="918"/>
      <c r="J110" s="918"/>
      <c r="K110" s="185"/>
      <c r="L110" s="185"/>
      <c r="M110" s="185"/>
      <c r="N110" s="185"/>
      <c r="O110" s="185"/>
      <c r="P110" s="185"/>
      <c r="Q110" s="185"/>
      <c r="R110" s="185"/>
      <c r="S110" s="185"/>
      <c r="T110" s="185"/>
      <c r="U110" s="185"/>
      <c r="V110" s="185"/>
      <c r="W110" s="185"/>
      <c r="X110" s="185"/>
      <c r="Y110" s="185"/>
      <c r="Z110" s="185"/>
      <c r="AA110" s="185"/>
      <c r="AB110" s="185"/>
      <c r="AC110" s="185"/>
      <c r="AD110" s="185"/>
      <c r="AE110" s="185"/>
      <c r="AF110" s="185"/>
      <c r="AG110" s="185"/>
      <c r="AH110" s="185"/>
      <c r="AI110" s="185"/>
      <c r="AJ110" s="185"/>
      <c r="AK110" s="186"/>
      <c r="AL110" s="186"/>
      <c r="AM110" s="186"/>
      <c r="AN110" s="186"/>
      <c r="AO110" s="186"/>
      <c r="AP110" s="186"/>
      <c r="AQ110" s="187"/>
      <c r="AR110" s="186"/>
      <c r="AS110" s="186"/>
      <c r="AT110" s="186"/>
      <c r="AU110" s="186"/>
      <c r="AV110" s="186"/>
      <c r="AW110" s="186"/>
      <c r="AX110" s="186"/>
      <c r="AY110" s="186"/>
      <c r="AZ110" s="186"/>
      <c r="BA110" s="186"/>
      <c r="BB110" s="186"/>
      <c r="BC110" s="149"/>
    </row>
    <row r="111" spans="1:55" ht="72" customHeight="1" x14ac:dyDescent="0.2">
      <c r="A111" s="870">
        <v>12</v>
      </c>
      <c r="B111" s="154" t="s">
        <v>1704</v>
      </c>
      <c r="C111" s="155" t="s">
        <v>1705</v>
      </c>
      <c r="D111" s="156" t="s">
        <v>21</v>
      </c>
      <c r="E111" s="156" t="s">
        <v>1890</v>
      </c>
      <c r="F111" s="155" t="s">
        <v>1706</v>
      </c>
      <c r="G111" s="157" t="s">
        <v>1679</v>
      </c>
      <c r="H111" s="157" t="s">
        <v>1680</v>
      </c>
      <c r="I111" s="158" t="s">
        <v>1906</v>
      </c>
      <c r="J111" s="159">
        <f>+$N$3</f>
        <v>2019</v>
      </c>
      <c r="K111" s="157" t="s">
        <v>1923</v>
      </c>
      <c r="L111" s="158" t="s">
        <v>1951</v>
      </c>
      <c r="M111" s="155" t="s">
        <v>1707</v>
      </c>
      <c r="N111" s="155" t="s">
        <v>1708</v>
      </c>
      <c r="O111" s="155" t="s">
        <v>1709</v>
      </c>
      <c r="P111" s="155" t="s">
        <v>1961</v>
      </c>
      <c r="Q111" s="155" t="s">
        <v>1952</v>
      </c>
      <c r="R111" s="160">
        <f>SUM(R112:R118)</f>
        <v>0</v>
      </c>
      <c r="S111" s="161">
        <f t="shared" ref="S111:AK111" si="66">SUM(S112:S118)</f>
        <v>0</v>
      </c>
      <c r="T111" s="162">
        <f t="shared" si="66"/>
        <v>0</v>
      </c>
      <c r="U111" s="163">
        <f t="shared" si="66"/>
        <v>0</v>
      </c>
      <c r="V111" s="162">
        <f t="shared" si="66"/>
        <v>0</v>
      </c>
      <c r="W111" s="163">
        <f t="shared" si="66"/>
        <v>0</v>
      </c>
      <c r="X111" s="162">
        <f t="shared" si="66"/>
        <v>0</v>
      </c>
      <c r="Y111" s="163">
        <f t="shared" si="66"/>
        <v>0</v>
      </c>
      <c r="Z111" s="162">
        <f t="shared" si="66"/>
        <v>0</v>
      </c>
      <c r="AA111" s="163">
        <f t="shared" si="66"/>
        <v>0</v>
      </c>
      <c r="AB111" s="162">
        <f t="shared" si="66"/>
        <v>0</v>
      </c>
      <c r="AC111" s="163">
        <f t="shared" si="66"/>
        <v>0</v>
      </c>
      <c r="AD111" s="162">
        <f t="shared" si="66"/>
        <v>0</v>
      </c>
      <c r="AE111" s="163">
        <f t="shared" si="66"/>
        <v>0</v>
      </c>
      <c r="AF111" s="162">
        <f t="shared" si="66"/>
        <v>0</v>
      </c>
      <c r="AG111" s="164">
        <f t="shared" si="66"/>
        <v>0</v>
      </c>
      <c r="AH111" s="162">
        <f t="shared" si="66"/>
        <v>0</v>
      </c>
      <c r="AI111" s="163">
        <f t="shared" si="66"/>
        <v>0</v>
      </c>
      <c r="AJ111" s="165">
        <f t="shared" si="66"/>
        <v>0</v>
      </c>
      <c r="AK111" s="166">
        <f t="shared" si="66"/>
        <v>0</v>
      </c>
      <c r="AL111" s="849"/>
      <c r="AM111" s="850"/>
      <c r="AN111" s="850"/>
      <c r="AO111" s="850"/>
      <c r="AP111" s="850"/>
      <c r="AQ111" s="850"/>
      <c r="AR111" s="851"/>
      <c r="AS111" s="852"/>
      <c r="AT111" s="850"/>
      <c r="AU111" s="851"/>
      <c r="AV111" s="852"/>
      <c r="AW111" s="850"/>
      <c r="AX111" s="850"/>
      <c r="AY111" s="850"/>
      <c r="AZ111" s="853"/>
      <c r="BA111" s="41" t="s">
        <v>1685</v>
      </c>
      <c r="BB111" s="41" t="s">
        <v>1954</v>
      </c>
      <c r="BC111" s="42" t="s">
        <v>1686</v>
      </c>
    </row>
    <row r="112" spans="1:55" ht="22.5" customHeight="1" x14ac:dyDescent="0.2">
      <c r="A112" s="871"/>
      <c r="B112" s="873" t="str">
        <f>VLOOKUP($D$9,'PROYECTOS REGISTRADOS'!$A$2:$D$82,4,0)</f>
        <v>Construcción y mantenimiento de infraestructura municipal Tocancipá, Cundinamarca, Centro Oriente</v>
      </c>
      <c r="C112" s="876" t="str">
        <f>VLOOKUP($D$9,'PROYECTOS REGISTRADOS'!$A$2:$D$82,3,0)</f>
        <v>2016-25817-0036</v>
      </c>
      <c r="D112" s="879" t="s">
        <v>1037</v>
      </c>
      <c r="E112" s="882" t="str">
        <f>IF(D112=0,"0-0",(VLOOKUP(D112,'CONSOLIDADO PLAN DESARROLLO'!$EL$9:$ET$304,2,0)))</f>
        <v>Realizar el mantenimiento de infraestructura para la población Vulnerable</v>
      </c>
      <c r="F112" s="885" t="str">
        <f>IF(D112=0,"0-0",(VLOOKUP(D112,'CONSOLIDADO PLAN DESARROLLO'!$EL$9:$ET$304,3,0)))</f>
        <v>infraestructuras mantenidas</v>
      </c>
      <c r="G112" s="888">
        <f>IF(D112=0,"0-0",(VLOOKUP(D112,'CONSOLIDADO PLAN DESARROLLO'!$EL$9:$ET$304,4,0)))</f>
        <v>6</v>
      </c>
      <c r="H112" s="891">
        <f>IF(D112=0,"0-0",(VLOOKUP(D112,'CONSOLIDADO PLAN DESARROLLO'!$EL$9:$ET$304,5,0)))</f>
        <v>7</v>
      </c>
      <c r="I112" s="894">
        <f>IF(D112=0,"0-0",(VLOOKUP(D112,'CONSOLIDADO PLAN DESARROLLO'!$EL$9:$ET$304,$R$3,0)))</f>
        <v>0</v>
      </c>
      <c r="J112" s="895"/>
      <c r="K112" s="906">
        <v>0</v>
      </c>
      <c r="L112" s="909">
        <v>0</v>
      </c>
      <c r="M112" s="799" t="s">
        <v>1935</v>
      </c>
      <c r="N112" s="798" t="s">
        <v>1928</v>
      </c>
      <c r="O112" s="800">
        <v>4</v>
      </c>
      <c r="P112" s="43">
        <v>0</v>
      </c>
      <c r="Q112" s="43">
        <v>0</v>
      </c>
      <c r="R112" s="912">
        <f>VLOOKUP($D112,'[4]Tablero Logro Metas 2019'!$AK$7:$AS$302,3,0)</f>
        <v>0</v>
      </c>
      <c r="S112" s="44">
        <v>0</v>
      </c>
      <c r="T112" s="915">
        <f>VLOOKUP($D112,'[4]Tablero Logro Metas 2019'!$AK$7:$AS$302,4,0)</f>
        <v>0</v>
      </c>
      <c r="U112" s="45">
        <v>0</v>
      </c>
      <c r="V112" s="915">
        <f>VLOOKUP($D112,'[4]Tablero Logro Metas 2019'!$AK$7:$AS$302,5,0)</f>
        <v>0</v>
      </c>
      <c r="W112" s="45">
        <v>0</v>
      </c>
      <c r="X112" s="915">
        <f>VLOOKUP($D112,'[4]Tablero Logro Metas 2019'!$AK$7:$AS$302,6,0)</f>
        <v>0</v>
      </c>
      <c r="Y112" s="45">
        <v>0</v>
      </c>
      <c r="Z112" s="915">
        <f>VLOOKUP($D112,'[4]Tablero Logro Metas 2019'!$AK$7:$AS$302,7,0)</f>
        <v>0</v>
      </c>
      <c r="AA112" s="45">
        <v>0</v>
      </c>
      <c r="AB112" s="915">
        <f>VLOOKUP($D112,'[4]Tablero Logro Metas 2019'!$AK$7:$AS$302,8,0)</f>
        <v>0</v>
      </c>
      <c r="AC112" s="45">
        <v>0</v>
      </c>
      <c r="AD112" s="915">
        <f>VLOOKUP($D112,'[4]Tablero Logro Metas 2019'!$AK$7:$AS$302,9,0)</f>
        <v>0</v>
      </c>
      <c r="AE112" s="45">
        <v>0</v>
      </c>
      <c r="AF112" s="900"/>
      <c r="AG112" s="46">
        <v>0</v>
      </c>
      <c r="AH112" s="900"/>
      <c r="AI112" s="45">
        <v>0</v>
      </c>
      <c r="AJ112" s="903">
        <f>+R112+T112+V112+X112+Z112+AB112+AD112+AF112+AH112</f>
        <v>0</v>
      </c>
      <c r="AK112" s="99">
        <f t="shared" ref="AK112:AK117" si="67">AC112+AE112+AG112+S112+U112+W112+Y112+AA112+AI112</f>
        <v>0</v>
      </c>
      <c r="AL112" s="47">
        <v>0</v>
      </c>
      <c r="AM112" s="48">
        <v>0</v>
      </c>
      <c r="AN112" s="48">
        <v>0</v>
      </c>
      <c r="AO112" s="48">
        <v>0</v>
      </c>
      <c r="AP112" s="48">
        <v>0</v>
      </c>
      <c r="AQ112" s="48">
        <v>0</v>
      </c>
      <c r="AR112" s="49">
        <f t="shared" ref="AR112:AR114" si="68">SUM(AL112:AQ112)</f>
        <v>0</v>
      </c>
      <c r="AS112" s="50">
        <v>0</v>
      </c>
      <c r="AT112" s="48">
        <v>0</v>
      </c>
      <c r="AU112" s="49">
        <f t="shared" ref="AU112:AU114" si="69">SUM(AS112:AT112)</f>
        <v>0</v>
      </c>
      <c r="AV112" s="50">
        <v>0</v>
      </c>
      <c r="AW112" s="48">
        <v>0</v>
      </c>
      <c r="AX112" s="48">
        <v>0</v>
      </c>
      <c r="AY112" s="48">
        <v>0</v>
      </c>
      <c r="AZ112" s="51">
        <v>0</v>
      </c>
      <c r="BA112" s="52"/>
      <c r="BB112" s="52"/>
      <c r="BC112" s="53" t="s">
        <v>1964</v>
      </c>
    </row>
    <row r="113" spans="1:55" ht="17.25" customHeight="1" x14ac:dyDescent="0.2">
      <c r="A113" s="871"/>
      <c r="B113" s="873"/>
      <c r="C113" s="876"/>
      <c r="D113" s="879"/>
      <c r="E113" s="883"/>
      <c r="F113" s="885"/>
      <c r="G113" s="888"/>
      <c r="H113" s="891"/>
      <c r="I113" s="896"/>
      <c r="J113" s="897"/>
      <c r="K113" s="906"/>
      <c r="L113" s="910"/>
      <c r="M113" s="797" t="s">
        <v>1944</v>
      </c>
      <c r="N113" s="798" t="s">
        <v>1928</v>
      </c>
      <c r="O113" s="800">
        <v>7</v>
      </c>
      <c r="P113" s="43">
        <v>0</v>
      </c>
      <c r="Q113" s="43">
        <v>0</v>
      </c>
      <c r="R113" s="913"/>
      <c r="S113" s="44">
        <v>0</v>
      </c>
      <c r="T113" s="916"/>
      <c r="U113" s="45">
        <v>0</v>
      </c>
      <c r="V113" s="916"/>
      <c r="W113" s="45">
        <v>0</v>
      </c>
      <c r="X113" s="916"/>
      <c r="Y113" s="45">
        <v>0</v>
      </c>
      <c r="Z113" s="916"/>
      <c r="AA113" s="45">
        <v>0</v>
      </c>
      <c r="AB113" s="916"/>
      <c r="AC113" s="45">
        <v>0</v>
      </c>
      <c r="AD113" s="916"/>
      <c r="AE113" s="45">
        <v>0</v>
      </c>
      <c r="AF113" s="901"/>
      <c r="AG113" s="46">
        <v>0</v>
      </c>
      <c r="AH113" s="901"/>
      <c r="AI113" s="45">
        <v>0</v>
      </c>
      <c r="AJ113" s="904"/>
      <c r="AK113" s="99">
        <f t="shared" si="67"/>
        <v>0</v>
      </c>
      <c r="AL113" s="47">
        <v>0</v>
      </c>
      <c r="AM113" s="48">
        <v>0</v>
      </c>
      <c r="AN113" s="48">
        <v>0</v>
      </c>
      <c r="AO113" s="48">
        <v>0</v>
      </c>
      <c r="AP113" s="48">
        <v>0</v>
      </c>
      <c r="AQ113" s="48">
        <v>0</v>
      </c>
      <c r="AR113" s="49">
        <f t="shared" si="68"/>
        <v>0</v>
      </c>
      <c r="AS113" s="50">
        <v>0</v>
      </c>
      <c r="AT113" s="48">
        <v>0</v>
      </c>
      <c r="AU113" s="49">
        <f t="shared" si="69"/>
        <v>0</v>
      </c>
      <c r="AV113" s="50">
        <v>0</v>
      </c>
      <c r="AW113" s="48">
        <v>0</v>
      </c>
      <c r="AX113" s="48">
        <v>0</v>
      </c>
      <c r="AY113" s="48">
        <v>0</v>
      </c>
      <c r="AZ113" s="51">
        <v>0</v>
      </c>
      <c r="BA113" s="52"/>
      <c r="BB113" s="52"/>
      <c r="BC113" s="53" t="s">
        <v>1964</v>
      </c>
    </row>
    <row r="114" spans="1:55" ht="17.25" customHeight="1" x14ac:dyDescent="0.2">
      <c r="A114" s="871"/>
      <c r="B114" s="873"/>
      <c r="C114" s="876"/>
      <c r="D114" s="879"/>
      <c r="E114" s="883"/>
      <c r="F114" s="885"/>
      <c r="G114" s="888"/>
      <c r="H114" s="891"/>
      <c r="I114" s="896"/>
      <c r="J114" s="897"/>
      <c r="K114" s="906"/>
      <c r="L114" s="910"/>
      <c r="M114" s="797" t="s">
        <v>1945</v>
      </c>
      <c r="N114" s="798" t="s">
        <v>1928</v>
      </c>
      <c r="O114" s="800">
        <v>7</v>
      </c>
      <c r="P114" s="43">
        <v>0</v>
      </c>
      <c r="Q114" s="43">
        <v>0</v>
      </c>
      <c r="R114" s="913"/>
      <c r="S114" s="44">
        <v>0</v>
      </c>
      <c r="T114" s="916"/>
      <c r="U114" s="45">
        <v>0</v>
      </c>
      <c r="V114" s="916"/>
      <c r="W114" s="45">
        <v>0</v>
      </c>
      <c r="X114" s="916"/>
      <c r="Y114" s="45">
        <v>0</v>
      </c>
      <c r="Z114" s="916"/>
      <c r="AA114" s="45">
        <v>0</v>
      </c>
      <c r="AB114" s="916"/>
      <c r="AC114" s="45">
        <v>0</v>
      </c>
      <c r="AD114" s="916"/>
      <c r="AE114" s="45">
        <v>0</v>
      </c>
      <c r="AF114" s="901"/>
      <c r="AG114" s="46">
        <v>0</v>
      </c>
      <c r="AH114" s="901"/>
      <c r="AI114" s="45">
        <v>0</v>
      </c>
      <c r="AJ114" s="904"/>
      <c r="AK114" s="99">
        <f t="shared" si="67"/>
        <v>0</v>
      </c>
      <c r="AL114" s="47">
        <v>0</v>
      </c>
      <c r="AM114" s="48">
        <v>0</v>
      </c>
      <c r="AN114" s="48">
        <v>0</v>
      </c>
      <c r="AO114" s="48">
        <v>0</v>
      </c>
      <c r="AP114" s="48">
        <v>0</v>
      </c>
      <c r="AQ114" s="48">
        <v>0</v>
      </c>
      <c r="AR114" s="49">
        <f t="shared" si="68"/>
        <v>0</v>
      </c>
      <c r="AS114" s="50">
        <v>0</v>
      </c>
      <c r="AT114" s="48">
        <v>0</v>
      </c>
      <c r="AU114" s="49">
        <f t="shared" si="69"/>
        <v>0</v>
      </c>
      <c r="AV114" s="50">
        <v>0</v>
      </c>
      <c r="AW114" s="48">
        <v>0</v>
      </c>
      <c r="AX114" s="48">
        <v>0</v>
      </c>
      <c r="AY114" s="48">
        <v>0</v>
      </c>
      <c r="AZ114" s="51">
        <v>0</v>
      </c>
      <c r="BA114" s="52"/>
      <c r="BB114" s="52"/>
      <c r="BC114" s="53" t="s">
        <v>1964</v>
      </c>
    </row>
    <row r="115" spans="1:55" ht="17.25" customHeight="1" x14ac:dyDescent="0.2">
      <c r="A115" s="871"/>
      <c r="B115" s="873"/>
      <c r="C115" s="876"/>
      <c r="D115" s="879"/>
      <c r="E115" s="883"/>
      <c r="F115" s="885"/>
      <c r="G115" s="888"/>
      <c r="H115" s="891"/>
      <c r="I115" s="896"/>
      <c r="J115" s="897"/>
      <c r="K115" s="906"/>
      <c r="L115" s="910"/>
      <c r="M115" s="167"/>
      <c r="N115" s="168"/>
      <c r="O115" s="169"/>
      <c r="P115" s="43"/>
      <c r="Q115" s="43"/>
      <c r="R115" s="913"/>
      <c r="S115" s="44"/>
      <c r="T115" s="916"/>
      <c r="U115" s="45"/>
      <c r="V115" s="916"/>
      <c r="W115" s="45"/>
      <c r="X115" s="916"/>
      <c r="Y115" s="45"/>
      <c r="Z115" s="916"/>
      <c r="AA115" s="45"/>
      <c r="AB115" s="916"/>
      <c r="AC115" s="45"/>
      <c r="AD115" s="916"/>
      <c r="AE115" s="45"/>
      <c r="AF115" s="901"/>
      <c r="AG115" s="46"/>
      <c r="AH115" s="901"/>
      <c r="AI115" s="45"/>
      <c r="AJ115" s="904"/>
      <c r="AK115" s="99">
        <f t="shared" si="67"/>
        <v>0</v>
      </c>
      <c r="AL115" s="47"/>
      <c r="AM115" s="48"/>
      <c r="AN115" s="48"/>
      <c r="AO115" s="48"/>
      <c r="AP115" s="48"/>
      <c r="AQ115" s="48"/>
      <c r="AR115" s="49">
        <f t="shared" ref="AR115:AR117" si="70">SUM(AL115:AQ115)</f>
        <v>0</v>
      </c>
      <c r="AS115" s="50"/>
      <c r="AT115" s="48"/>
      <c r="AU115" s="49">
        <f t="shared" ref="AU115:AU116" si="71">SUM(AS115:AT115)</f>
        <v>0</v>
      </c>
      <c r="AV115" s="50"/>
      <c r="AW115" s="48"/>
      <c r="AX115" s="48"/>
      <c r="AY115" s="48"/>
      <c r="AZ115" s="51"/>
      <c r="BA115" s="52"/>
      <c r="BB115" s="52"/>
      <c r="BC115" s="53"/>
    </row>
    <row r="116" spans="1:55" ht="17.25" customHeight="1" x14ac:dyDescent="0.2">
      <c r="A116" s="871"/>
      <c r="B116" s="873"/>
      <c r="C116" s="876"/>
      <c r="D116" s="879"/>
      <c r="E116" s="883"/>
      <c r="F116" s="885"/>
      <c r="G116" s="888"/>
      <c r="H116" s="891"/>
      <c r="I116" s="896"/>
      <c r="J116" s="897"/>
      <c r="K116" s="906"/>
      <c r="L116" s="910"/>
      <c r="M116" s="167"/>
      <c r="N116" s="168"/>
      <c r="O116" s="169"/>
      <c r="P116" s="43"/>
      <c r="Q116" s="43"/>
      <c r="R116" s="913"/>
      <c r="S116" s="44"/>
      <c r="T116" s="916"/>
      <c r="U116" s="45"/>
      <c r="V116" s="916"/>
      <c r="W116" s="45"/>
      <c r="X116" s="916"/>
      <c r="Y116" s="45"/>
      <c r="Z116" s="916"/>
      <c r="AA116" s="45"/>
      <c r="AB116" s="916"/>
      <c r="AC116" s="45"/>
      <c r="AD116" s="916"/>
      <c r="AE116" s="45"/>
      <c r="AF116" s="901"/>
      <c r="AG116" s="46"/>
      <c r="AH116" s="901"/>
      <c r="AI116" s="45"/>
      <c r="AJ116" s="904"/>
      <c r="AK116" s="99">
        <f t="shared" si="67"/>
        <v>0</v>
      </c>
      <c r="AL116" s="47"/>
      <c r="AM116" s="48"/>
      <c r="AN116" s="48"/>
      <c r="AO116" s="48"/>
      <c r="AP116" s="48"/>
      <c r="AQ116" s="48"/>
      <c r="AR116" s="49">
        <f t="shared" si="70"/>
        <v>0</v>
      </c>
      <c r="AS116" s="50"/>
      <c r="AT116" s="48"/>
      <c r="AU116" s="49">
        <f t="shared" si="71"/>
        <v>0</v>
      </c>
      <c r="AV116" s="50"/>
      <c r="AW116" s="48"/>
      <c r="AX116" s="48"/>
      <c r="AY116" s="48"/>
      <c r="AZ116" s="51"/>
      <c r="BA116" s="52"/>
      <c r="BB116" s="52"/>
      <c r="BC116" s="53"/>
    </row>
    <row r="117" spans="1:55" ht="17.25" customHeight="1" x14ac:dyDescent="0.2">
      <c r="A117" s="871"/>
      <c r="B117" s="874"/>
      <c r="C117" s="877"/>
      <c r="D117" s="880"/>
      <c r="E117" s="883"/>
      <c r="F117" s="886"/>
      <c r="G117" s="889"/>
      <c r="H117" s="892"/>
      <c r="I117" s="896"/>
      <c r="J117" s="897"/>
      <c r="K117" s="907"/>
      <c r="L117" s="910"/>
      <c r="M117" s="170"/>
      <c r="N117" s="171"/>
      <c r="O117" s="172"/>
      <c r="P117" s="100"/>
      <c r="Q117" s="100"/>
      <c r="R117" s="913"/>
      <c r="S117" s="101"/>
      <c r="T117" s="916"/>
      <c r="U117" s="102"/>
      <c r="V117" s="916"/>
      <c r="W117" s="102"/>
      <c r="X117" s="916"/>
      <c r="Y117" s="102"/>
      <c r="Z117" s="916"/>
      <c r="AA117" s="102"/>
      <c r="AB117" s="916"/>
      <c r="AC117" s="102"/>
      <c r="AD117" s="916"/>
      <c r="AE117" s="102"/>
      <c r="AF117" s="901"/>
      <c r="AG117" s="103"/>
      <c r="AH117" s="901"/>
      <c r="AI117" s="102"/>
      <c r="AJ117" s="905"/>
      <c r="AK117" s="99">
        <f t="shared" si="67"/>
        <v>0</v>
      </c>
      <c r="AL117" s="104"/>
      <c r="AM117" s="105"/>
      <c r="AN117" s="105"/>
      <c r="AO117" s="105"/>
      <c r="AP117" s="105"/>
      <c r="AQ117" s="105"/>
      <c r="AR117" s="49">
        <f t="shared" si="70"/>
        <v>0</v>
      </c>
      <c r="AS117" s="106"/>
      <c r="AT117" s="105"/>
      <c r="AU117" s="49">
        <f>SUM(AS117:AT117)</f>
        <v>0</v>
      </c>
      <c r="AV117" s="106"/>
      <c r="AW117" s="105"/>
      <c r="AX117" s="105"/>
      <c r="AY117" s="105"/>
      <c r="AZ117" s="107"/>
      <c r="BA117" s="108"/>
      <c r="BB117" s="108"/>
      <c r="BC117" s="109"/>
    </row>
    <row r="118" spans="1:55" ht="9.9499999999999993" customHeight="1" thickBot="1" x14ac:dyDescent="0.25">
      <c r="A118" s="872"/>
      <c r="B118" s="875"/>
      <c r="C118" s="878"/>
      <c r="D118" s="881"/>
      <c r="E118" s="884"/>
      <c r="F118" s="887"/>
      <c r="G118" s="890"/>
      <c r="H118" s="893"/>
      <c r="I118" s="898"/>
      <c r="J118" s="899"/>
      <c r="K118" s="908"/>
      <c r="L118" s="911"/>
      <c r="M118" s="173"/>
      <c r="N118" s="174"/>
      <c r="O118" s="175"/>
      <c r="P118" s="110"/>
      <c r="Q118" s="110"/>
      <c r="R118" s="914"/>
      <c r="S118" s="176"/>
      <c r="T118" s="917"/>
      <c r="U118" s="177"/>
      <c r="V118" s="917"/>
      <c r="W118" s="177"/>
      <c r="X118" s="917"/>
      <c r="Y118" s="177"/>
      <c r="Z118" s="917"/>
      <c r="AA118" s="177"/>
      <c r="AB118" s="917"/>
      <c r="AC118" s="177"/>
      <c r="AD118" s="917"/>
      <c r="AE118" s="177"/>
      <c r="AF118" s="902"/>
      <c r="AG118" s="178"/>
      <c r="AH118" s="902"/>
      <c r="AI118" s="177"/>
      <c r="AJ118" s="111"/>
      <c r="AK118" s="112"/>
      <c r="AL118" s="179"/>
      <c r="AM118" s="180"/>
      <c r="AN118" s="180"/>
      <c r="AO118" s="180"/>
      <c r="AP118" s="180"/>
      <c r="AQ118" s="180"/>
      <c r="AR118" s="113"/>
      <c r="AS118" s="181"/>
      <c r="AT118" s="180"/>
      <c r="AU118" s="113"/>
      <c r="AV118" s="181"/>
      <c r="AW118" s="180"/>
      <c r="AX118" s="180"/>
      <c r="AY118" s="180"/>
      <c r="AZ118" s="182"/>
      <c r="BA118" s="183"/>
      <c r="BB118" s="183"/>
      <c r="BC118" s="184"/>
    </row>
    <row r="119" spans="1:55" ht="6" customHeight="1" x14ac:dyDescent="0.2">
      <c r="A119" s="149"/>
      <c r="B119" s="185"/>
      <c r="C119" s="185"/>
      <c r="D119" s="185"/>
      <c r="E119" s="185"/>
      <c r="F119" s="185"/>
      <c r="G119" s="185"/>
      <c r="H119" s="185"/>
      <c r="I119" s="918"/>
      <c r="J119" s="918"/>
      <c r="K119" s="185"/>
      <c r="L119" s="185"/>
      <c r="M119" s="185"/>
      <c r="N119" s="185"/>
      <c r="O119" s="185"/>
      <c r="P119" s="185"/>
      <c r="Q119" s="185"/>
      <c r="R119" s="185"/>
      <c r="S119" s="185"/>
      <c r="T119" s="185"/>
      <c r="U119" s="185"/>
      <c r="V119" s="185"/>
      <c r="W119" s="185"/>
      <c r="X119" s="185"/>
      <c r="Y119" s="185"/>
      <c r="Z119" s="185"/>
      <c r="AA119" s="185"/>
      <c r="AB119" s="185"/>
      <c r="AC119" s="185"/>
      <c r="AD119" s="185"/>
      <c r="AE119" s="185"/>
      <c r="AF119" s="185"/>
      <c r="AG119" s="185"/>
      <c r="AH119" s="185"/>
      <c r="AI119" s="185"/>
      <c r="AJ119" s="185"/>
      <c r="AK119" s="186"/>
      <c r="AL119" s="186"/>
      <c r="AM119" s="186"/>
      <c r="AN119" s="186"/>
      <c r="AO119" s="186"/>
      <c r="AP119" s="186"/>
      <c r="AQ119" s="187"/>
      <c r="AR119" s="186"/>
      <c r="AS119" s="186"/>
      <c r="AT119" s="186"/>
      <c r="AU119" s="186"/>
      <c r="AV119" s="186"/>
      <c r="AW119" s="186"/>
      <c r="AX119" s="186"/>
      <c r="AY119" s="186"/>
      <c r="AZ119" s="186"/>
      <c r="BA119" s="186"/>
      <c r="BB119" s="186"/>
      <c r="BC119" s="149"/>
    </row>
    <row r="120" spans="1:55" ht="72" customHeight="1" x14ac:dyDescent="0.2">
      <c r="A120" s="870">
        <v>13</v>
      </c>
      <c r="B120" s="154" t="s">
        <v>1704</v>
      </c>
      <c r="C120" s="155" t="s">
        <v>1705</v>
      </c>
      <c r="D120" s="156" t="s">
        <v>21</v>
      </c>
      <c r="E120" s="156" t="s">
        <v>1890</v>
      </c>
      <c r="F120" s="155" t="s">
        <v>1706</v>
      </c>
      <c r="G120" s="157" t="s">
        <v>1679</v>
      </c>
      <c r="H120" s="157" t="s">
        <v>1680</v>
      </c>
      <c r="I120" s="158" t="s">
        <v>1906</v>
      </c>
      <c r="J120" s="159">
        <f>+$N$3</f>
        <v>2019</v>
      </c>
      <c r="K120" s="157" t="s">
        <v>1923</v>
      </c>
      <c r="L120" s="158" t="s">
        <v>1951</v>
      </c>
      <c r="M120" s="155" t="s">
        <v>1707</v>
      </c>
      <c r="N120" s="155" t="s">
        <v>1708</v>
      </c>
      <c r="O120" s="155" t="s">
        <v>1709</v>
      </c>
      <c r="P120" s="155" t="s">
        <v>1961</v>
      </c>
      <c r="Q120" s="155" t="s">
        <v>1952</v>
      </c>
      <c r="R120" s="160">
        <f>SUM(R121:R127)</f>
        <v>0</v>
      </c>
      <c r="S120" s="161">
        <f t="shared" ref="S120:AK120" si="72">SUM(S121:S127)</f>
        <v>0</v>
      </c>
      <c r="T120" s="162">
        <f t="shared" si="72"/>
        <v>0</v>
      </c>
      <c r="U120" s="163">
        <f t="shared" si="72"/>
        <v>0</v>
      </c>
      <c r="V120" s="162">
        <f t="shared" si="72"/>
        <v>0</v>
      </c>
      <c r="W120" s="163">
        <f t="shared" si="72"/>
        <v>0</v>
      </c>
      <c r="X120" s="162">
        <f t="shared" si="72"/>
        <v>0</v>
      </c>
      <c r="Y120" s="163">
        <f t="shared" si="72"/>
        <v>0</v>
      </c>
      <c r="Z120" s="162">
        <f t="shared" si="72"/>
        <v>3450000000</v>
      </c>
      <c r="AA120" s="163">
        <f t="shared" si="72"/>
        <v>1252694624</v>
      </c>
      <c r="AB120" s="162">
        <f t="shared" si="72"/>
        <v>0</v>
      </c>
      <c r="AC120" s="163">
        <f t="shared" si="72"/>
        <v>0</v>
      </c>
      <c r="AD120" s="162">
        <f t="shared" si="72"/>
        <v>0</v>
      </c>
      <c r="AE120" s="163">
        <f t="shared" si="72"/>
        <v>0</v>
      </c>
      <c r="AF120" s="162">
        <f t="shared" si="72"/>
        <v>0</v>
      </c>
      <c r="AG120" s="164">
        <f t="shared" si="72"/>
        <v>0</v>
      </c>
      <c r="AH120" s="162">
        <f t="shared" si="72"/>
        <v>0</v>
      </c>
      <c r="AI120" s="163">
        <f t="shared" si="72"/>
        <v>0</v>
      </c>
      <c r="AJ120" s="165">
        <f t="shared" si="72"/>
        <v>3450000000</v>
      </c>
      <c r="AK120" s="166">
        <f t="shared" si="72"/>
        <v>1252694624</v>
      </c>
      <c r="AL120" s="849"/>
      <c r="AM120" s="850"/>
      <c r="AN120" s="850"/>
      <c r="AO120" s="850"/>
      <c r="AP120" s="850"/>
      <c r="AQ120" s="850"/>
      <c r="AR120" s="851"/>
      <c r="AS120" s="852"/>
      <c r="AT120" s="850"/>
      <c r="AU120" s="851"/>
      <c r="AV120" s="852"/>
      <c r="AW120" s="850"/>
      <c r="AX120" s="850"/>
      <c r="AY120" s="850"/>
      <c r="AZ120" s="853"/>
      <c r="BA120" s="41" t="s">
        <v>1685</v>
      </c>
      <c r="BB120" s="41" t="s">
        <v>1954</v>
      </c>
      <c r="BC120" s="42" t="s">
        <v>1686</v>
      </c>
    </row>
    <row r="121" spans="1:55" ht="17.25" customHeight="1" x14ac:dyDescent="0.2">
      <c r="A121" s="871"/>
      <c r="B121" s="873" t="str">
        <f>VLOOKUP($D$9,'PROYECTOS REGISTRADOS'!$A$2:$D$82,4,0)</f>
        <v>Construcción y mantenimiento de infraestructura municipal Tocancipá, Cundinamarca, Centro Oriente</v>
      </c>
      <c r="C121" s="876" t="str">
        <f>VLOOKUP($D$9,'PROYECTOS REGISTRADOS'!$A$2:$D$82,3,0)</f>
        <v>2016-25817-0036</v>
      </c>
      <c r="D121" s="879" t="s">
        <v>1040</v>
      </c>
      <c r="E121" s="882" t="str">
        <f>IF(D121=0,"0-0",(VLOOKUP(D121,'CONSOLIDADO PLAN DESARROLLO'!$EL$9:$ET$304,2,0)))</f>
        <v>Realizar la construcción y ampliación de infraestructura para la prevención y atención de desastres</v>
      </c>
      <c r="F121" s="885" t="str">
        <f>IF(D121=0,"0-0",(VLOOKUP(D121,'CONSOLIDADO PLAN DESARROLLO'!$EL$9:$ET$304,3,0)))</f>
        <v>infraestructuras construidas o ampliadas</v>
      </c>
      <c r="G121" s="888">
        <f>IF(D121=0,"0-0",(VLOOKUP(D121,'CONSOLIDADO PLAN DESARROLLO'!$EL$9:$ET$304,4,0)))</f>
        <v>0</v>
      </c>
      <c r="H121" s="891">
        <f>IF(D121=0,"0-0",(VLOOKUP(D121,'CONSOLIDADO PLAN DESARROLLO'!$EL$9:$ET$304,5,0)))</f>
        <v>1</v>
      </c>
      <c r="I121" s="894">
        <f>IF(D121=0,"0-0",(VLOOKUP(D121,'CONSOLIDADO PLAN DESARROLLO'!$EL$9:$ET$304,$R$3,0)))</f>
        <v>0</v>
      </c>
      <c r="J121" s="895"/>
      <c r="K121" s="906">
        <v>1</v>
      </c>
      <c r="L121" s="909">
        <v>1</v>
      </c>
      <c r="M121" s="797" t="s">
        <v>1944</v>
      </c>
      <c r="N121" s="798" t="s">
        <v>1928</v>
      </c>
      <c r="O121" s="800">
        <v>1</v>
      </c>
      <c r="P121" s="43">
        <v>1</v>
      </c>
      <c r="Q121" s="43">
        <v>1</v>
      </c>
      <c r="R121" s="912">
        <f>VLOOKUP($D121,'[4]Tablero Logro Metas 2019'!$AK$7:$AS$302,3,0)</f>
        <v>0</v>
      </c>
      <c r="S121" s="44">
        <v>0</v>
      </c>
      <c r="T121" s="915">
        <f>VLOOKUP($D121,'[4]Tablero Logro Metas 2019'!$AK$7:$AS$302,4,0)</f>
        <v>0</v>
      </c>
      <c r="U121" s="44">
        <v>0</v>
      </c>
      <c r="V121" s="915">
        <f>VLOOKUP($D121,'[4]Tablero Logro Metas 2019'!$AK$7:$AS$302,5,0)</f>
        <v>0</v>
      </c>
      <c r="W121" s="44">
        <v>0</v>
      </c>
      <c r="X121" s="915">
        <f>VLOOKUP($D121,'[4]Tablero Logro Metas 2019'!$AK$7:$AS$302,6,0)</f>
        <v>0</v>
      </c>
      <c r="Y121" s="44">
        <v>0</v>
      </c>
      <c r="Z121" s="915">
        <f>VLOOKUP($D121,'[4]Tablero Logro Metas 2019'!$AK$7:$AS$302,7,0)</f>
        <v>3450000000</v>
      </c>
      <c r="AA121" s="45">
        <v>1170740632</v>
      </c>
      <c r="AB121" s="915">
        <f>VLOOKUP($D121,'[4]Tablero Logro Metas 2019'!$AK$7:$AS$302,8,0)</f>
        <v>0</v>
      </c>
      <c r="AC121" s="44">
        <v>0</v>
      </c>
      <c r="AD121" s="915">
        <f>VLOOKUP($D121,'[4]Tablero Logro Metas 2019'!$AK$7:$AS$302,9,0)</f>
        <v>0</v>
      </c>
      <c r="AE121" s="44">
        <v>0</v>
      </c>
      <c r="AF121" s="900"/>
      <c r="AG121" s="44">
        <v>0</v>
      </c>
      <c r="AH121" s="900"/>
      <c r="AI121" s="44">
        <v>0</v>
      </c>
      <c r="AJ121" s="903">
        <f>+R121+T121+V121+X121+Z121+AB121+AD121+AF121+AH121</f>
        <v>3450000000</v>
      </c>
      <c r="AK121" s="99">
        <f t="shared" ref="AK121:AK126" si="73">AC121+AE121+AG121+S121+U121+W121+Y121+AA121+AI121</f>
        <v>1170740632</v>
      </c>
      <c r="AL121" s="47">
        <v>2504</v>
      </c>
      <c r="AM121" s="48">
        <v>3905</v>
      </c>
      <c r="AN121" s="48">
        <v>4211</v>
      </c>
      <c r="AO121" s="48">
        <v>8222</v>
      </c>
      <c r="AP121" s="48">
        <v>15646</v>
      </c>
      <c r="AQ121" s="48">
        <v>2553</v>
      </c>
      <c r="AR121" s="49">
        <f t="shared" ref="AR121:AR122" si="74">SUM(AL121:AQ121)</f>
        <v>37041</v>
      </c>
      <c r="AS121" s="50">
        <v>17873</v>
      </c>
      <c r="AT121" s="48">
        <v>19168</v>
      </c>
      <c r="AU121" s="49">
        <f t="shared" ref="AU121:AU122" si="75">SUM(AS121:AT121)</f>
        <v>37041</v>
      </c>
      <c r="AV121" s="50"/>
      <c r="AW121" s="48"/>
      <c r="AX121" s="48">
        <v>851</v>
      </c>
      <c r="AY121" s="48"/>
      <c r="AZ121" s="51"/>
      <c r="BA121" s="52"/>
      <c r="BB121" s="52"/>
      <c r="BC121" s="53" t="s">
        <v>1964</v>
      </c>
    </row>
    <row r="122" spans="1:55" ht="17.25" customHeight="1" x14ac:dyDescent="0.2">
      <c r="A122" s="871"/>
      <c r="B122" s="873"/>
      <c r="C122" s="876"/>
      <c r="D122" s="879"/>
      <c r="E122" s="883"/>
      <c r="F122" s="885"/>
      <c r="G122" s="888"/>
      <c r="H122" s="891"/>
      <c r="I122" s="896"/>
      <c r="J122" s="897"/>
      <c r="K122" s="906"/>
      <c r="L122" s="910"/>
      <c r="M122" s="797" t="s">
        <v>1945</v>
      </c>
      <c r="N122" s="798" t="s">
        <v>1928</v>
      </c>
      <c r="O122" s="800">
        <v>1</v>
      </c>
      <c r="P122" s="43">
        <v>1</v>
      </c>
      <c r="Q122" s="43">
        <v>1</v>
      </c>
      <c r="R122" s="913"/>
      <c r="S122" s="44">
        <v>0</v>
      </c>
      <c r="T122" s="916"/>
      <c r="U122" s="44">
        <v>0</v>
      </c>
      <c r="V122" s="916"/>
      <c r="W122" s="44">
        <v>0</v>
      </c>
      <c r="X122" s="916"/>
      <c r="Y122" s="44">
        <v>0</v>
      </c>
      <c r="Z122" s="916"/>
      <c r="AA122" s="45">
        <v>81953992</v>
      </c>
      <c r="AB122" s="916"/>
      <c r="AC122" s="44">
        <v>0</v>
      </c>
      <c r="AD122" s="916"/>
      <c r="AE122" s="44">
        <v>0</v>
      </c>
      <c r="AF122" s="901"/>
      <c r="AG122" s="44">
        <v>0</v>
      </c>
      <c r="AH122" s="901"/>
      <c r="AI122" s="44">
        <v>0</v>
      </c>
      <c r="AJ122" s="904"/>
      <c r="AK122" s="99">
        <f t="shared" si="73"/>
        <v>81953992</v>
      </c>
      <c r="AL122" s="47">
        <v>2504</v>
      </c>
      <c r="AM122" s="48">
        <v>3905</v>
      </c>
      <c r="AN122" s="48">
        <v>4211</v>
      </c>
      <c r="AO122" s="48">
        <v>8222</v>
      </c>
      <c r="AP122" s="48">
        <v>15646</v>
      </c>
      <c r="AQ122" s="48">
        <v>2553</v>
      </c>
      <c r="AR122" s="49">
        <f t="shared" si="74"/>
        <v>37041</v>
      </c>
      <c r="AS122" s="50">
        <v>17873</v>
      </c>
      <c r="AT122" s="48">
        <v>19168</v>
      </c>
      <c r="AU122" s="49">
        <f t="shared" si="75"/>
        <v>37041</v>
      </c>
      <c r="AV122" s="50"/>
      <c r="AW122" s="48"/>
      <c r="AX122" s="48">
        <v>851</v>
      </c>
      <c r="AY122" s="48"/>
      <c r="AZ122" s="51"/>
      <c r="BA122" s="52"/>
      <c r="BB122" s="52"/>
      <c r="BC122" s="53" t="s">
        <v>1964</v>
      </c>
    </row>
    <row r="123" spans="1:55" ht="17.25" customHeight="1" x14ac:dyDescent="0.2">
      <c r="A123" s="871"/>
      <c r="B123" s="873"/>
      <c r="C123" s="876"/>
      <c r="D123" s="879"/>
      <c r="E123" s="883"/>
      <c r="F123" s="885"/>
      <c r="G123" s="888"/>
      <c r="H123" s="891"/>
      <c r="I123" s="896"/>
      <c r="J123" s="897"/>
      <c r="K123" s="906"/>
      <c r="L123" s="910"/>
      <c r="M123" s="167"/>
      <c r="N123" s="168"/>
      <c r="O123" s="169"/>
      <c r="P123" s="43"/>
      <c r="Q123" s="43"/>
      <c r="R123" s="913"/>
      <c r="S123" s="44"/>
      <c r="T123" s="916"/>
      <c r="U123" s="45"/>
      <c r="V123" s="916"/>
      <c r="W123" s="45"/>
      <c r="X123" s="916"/>
      <c r="Y123" s="45"/>
      <c r="Z123" s="916"/>
      <c r="AA123" s="45"/>
      <c r="AB123" s="916"/>
      <c r="AC123" s="45"/>
      <c r="AD123" s="916"/>
      <c r="AE123" s="45"/>
      <c r="AF123" s="901"/>
      <c r="AG123" s="46"/>
      <c r="AH123" s="901"/>
      <c r="AI123" s="45"/>
      <c r="AJ123" s="904"/>
      <c r="AK123" s="99">
        <f t="shared" si="73"/>
        <v>0</v>
      </c>
      <c r="AL123" s="47"/>
      <c r="AM123" s="48"/>
      <c r="AN123" s="48"/>
      <c r="AO123" s="48"/>
      <c r="AP123" s="48"/>
      <c r="AQ123" s="48"/>
      <c r="AR123" s="49">
        <f t="shared" ref="AR123:AR126" si="76">SUM(AL123:AQ123)</f>
        <v>0</v>
      </c>
      <c r="AS123" s="50"/>
      <c r="AT123" s="48"/>
      <c r="AU123" s="49">
        <f t="shared" ref="AU123:AU125" si="77">SUM(AS123:AT123)</f>
        <v>0</v>
      </c>
      <c r="AV123" s="50"/>
      <c r="AW123" s="48"/>
      <c r="AX123" s="48"/>
      <c r="AY123" s="48"/>
      <c r="AZ123" s="51"/>
      <c r="BA123" s="52"/>
      <c r="BB123" s="52"/>
      <c r="BC123" s="53"/>
    </row>
    <row r="124" spans="1:55" ht="17.25" customHeight="1" x14ac:dyDescent="0.2">
      <c r="A124" s="871"/>
      <c r="B124" s="873"/>
      <c r="C124" s="876"/>
      <c r="D124" s="879"/>
      <c r="E124" s="883"/>
      <c r="F124" s="885"/>
      <c r="G124" s="888"/>
      <c r="H124" s="891"/>
      <c r="I124" s="896"/>
      <c r="J124" s="897"/>
      <c r="K124" s="906"/>
      <c r="L124" s="910"/>
      <c r="M124" s="167"/>
      <c r="N124" s="168"/>
      <c r="O124" s="169"/>
      <c r="P124" s="43"/>
      <c r="Q124" s="43"/>
      <c r="R124" s="913"/>
      <c r="S124" s="44"/>
      <c r="T124" s="916"/>
      <c r="U124" s="45"/>
      <c r="V124" s="916"/>
      <c r="W124" s="45"/>
      <c r="X124" s="916"/>
      <c r="Y124" s="45"/>
      <c r="Z124" s="916"/>
      <c r="AA124" s="45"/>
      <c r="AB124" s="916"/>
      <c r="AC124" s="45"/>
      <c r="AD124" s="916"/>
      <c r="AE124" s="45"/>
      <c r="AF124" s="901"/>
      <c r="AG124" s="46"/>
      <c r="AH124" s="901"/>
      <c r="AI124" s="45"/>
      <c r="AJ124" s="904"/>
      <c r="AK124" s="99">
        <f t="shared" si="73"/>
        <v>0</v>
      </c>
      <c r="AL124" s="47"/>
      <c r="AM124" s="48"/>
      <c r="AN124" s="48"/>
      <c r="AO124" s="48"/>
      <c r="AP124" s="48"/>
      <c r="AQ124" s="48"/>
      <c r="AR124" s="49">
        <f t="shared" si="76"/>
        <v>0</v>
      </c>
      <c r="AS124" s="50"/>
      <c r="AT124" s="48"/>
      <c r="AU124" s="49">
        <f t="shared" si="77"/>
        <v>0</v>
      </c>
      <c r="AV124" s="50"/>
      <c r="AW124" s="48"/>
      <c r="AX124" s="48"/>
      <c r="AY124" s="48"/>
      <c r="AZ124" s="51"/>
      <c r="BA124" s="52"/>
      <c r="BB124" s="52"/>
      <c r="BC124" s="53"/>
    </row>
    <row r="125" spans="1:55" ht="17.25" customHeight="1" x14ac:dyDescent="0.2">
      <c r="A125" s="871"/>
      <c r="B125" s="873"/>
      <c r="C125" s="876"/>
      <c r="D125" s="879"/>
      <c r="E125" s="883"/>
      <c r="F125" s="885"/>
      <c r="G125" s="888"/>
      <c r="H125" s="891"/>
      <c r="I125" s="896"/>
      <c r="J125" s="897"/>
      <c r="K125" s="906"/>
      <c r="L125" s="910"/>
      <c r="M125" s="167"/>
      <c r="N125" s="168"/>
      <c r="O125" s="169"/>
      <c r="P125" s="43"/>
      <c r="Q125" s="43"/>
      <c r="R125" s="913"/>
      <c r="S125" s="44"/>
      <c r="T125" s="916"/>
      <c r="U125" s="45"/>
      <c r="V125" s="916"/>
      <c r="W125" s="45"/>
      <c r="X125" s="916"/>
      <c r="Y125" s="45"/>
      <c r="Z125" s="916"/>
      <c r="AA125" s="45"/>
      <c r="AB125" s="916"/>
      <c r="AC125" s="45"/>
      <c r="AD125" s="916"/>
      <c r="AE125" s="45"/>
      <c r="AF125" s="901"/>
      <c r="AG125" s="46"/>
      <c r="AH125" s="901"/>
      <c r="AI125" s="45"/>
      <c r="AJ125" s="904"/>
      <c r="AK125" s="99">
        <f t="shared" si="73"/>
        <v>0</v>
      </c>
      <c r="AL125" s="47"/>
      <c r="AM125" s="48"/>
      <c r="AN125" s="48"/>
      <c r="AO125" s="48"/>
      <c r="AP125" s="48"/>
      <c r="AQ125" s="48"/>
      <c r="AR125" s="49">
        <f t="shared" si="76"/>
        <v>0</v>
      </c>
      <c r="AS125" s="50"/>
      <c r="AT125" s="48"/>
      <c r="AU125" s="49">
        <f t="shared" si="77"/>
        <v>0</v>
      </c>
      <c r="AV125" s="50"/>
      <c r="AW125" s="48"/>
      <c r="AX125" s="48"/>
      <c r="AY125" s="48"/>
      <c r="AZ125" s="51"/>
      <c r="BA125" s="52"/>
      <c r="BB125" s="52"/>
      <c r="BC125" s="53"/>
    </row>
    <row r="126" spans="1:55" ht="17.25" customHeight="1" x14ac:dyDescent="0.2">
      <c r="A126" s="871"/>
      <c r="B126" s="874"/>
      <c r="C126" s="877"/>
      <c r="D126" s="880"/>
      <c r="E126" s="883"/>
      <c r="F126" s="886"/>
      <c r="G126" s="889"/>
      <c r="H126" s="892"/>
      <c r="I126" s="896"/>
      <c r="J126" s="897"/>
      <c r="K126" s="907"/>
      <c r="L126" s="910"/>
      <c r="M126" s="170"/>
      <c r="N126" s="171"/>
      <c r="O126" s="172"/>
      <c r="P126" s="100"/>
      <c r="Q126" s="100"/>
      <c r="R126" s="913"/>
      <c r="S126" s="101"/>
      <c r="T126" s="916"/>
      <c r="U126" s="102"/>
      <c r="V126" s="916"/>
      <c r="W126" s="102"/>
      <c r="X126" s="916"/>
      <c r="Y126" s="102"/>
      <c r="Z126" s="916"/>
      <c r="AA126" s="102"/>
      <c r="AB126" s="916"/>
      <c r="AC126" s="102"/>
      <c r="AD126" s="916"/>
      <c r="AE126" s="102"/>
      <c r="AF126" s="901"/>
      <c r="AG126" s="103"/>
      <c r="AH126" s="901"/>
      <c r="AI126" s="102"/>
      <c r="AJ126" s="905"/>
      <c r="AK126" s="99">
        <f t="shared" si="73"/>
        <v>0</v>
      </c>
      <c r="AL126" s="104"/>
      <c r="AM126" s="105"/>
      <c r="AN126" s="105"/>
      <c r="AO126" s="105"/>
      <c r="AP126" s="105"/>
      <c r="AQ126" s="105"/>
      <c r="AR126" s="49">
        <f t="shared" si="76"/>
        <v>0</v>
      </c>
      <c r="AS126" s="106"/>
      <c r="AT126" s="105"/>
      <c r="AU126" s="49">
        <f>SUM(AS126:AT126)</f>
        <v>0</v>
      </c>
      <c r="AV126" s="106"/>
      <c r="AW126" s="105"/>
      <c r="AX126" s="105"/>
      <c r="AY126" s="105"/>
      <c r="AZ126" s="107"/>
      <c r="BA126" s="108"/>
      <c r="BB126" s="108"/>
      <c r="BC126" s="109"/>
    </row>
    <row r="127" spans="1:55" ht="9.9499999999999993" customHeight="1" thickBot="1" x14ac:dyDescent="0.25">
      <c r="A127" s="872"/>
      <c r="B127" s="875"/>
      <c r="C127" s="878"/>
      <c r="D127" s="881"/>
      <c r="E127" s="884"/>
      <c r="F127" s="887"/>
      <c r="G127" s="890"/>
      <c r="H127" s="893"/>
      <c r="I127" s="898"/>
      <c r="J127" s="899"/>
      <c r="K127" s="908"/>
      <c r="L127" s="911"/>
      <c r="M127" s="173"/>
      <c r="N127" s="174"/>
      <c r="O127" s="175"/>
      <c r="P127" s="110"/>
      <c r="Q127" s="110"/>
      <c r="R127" s="914"/>
      <c r="S127" s="176"/>
      <c r="T127" s="917"/>
      <c r="U127" s="177"/>
      <c r="V127" s="917"/>
      <c r="W127" s="177"/>
      <c r="X127" s="917"/>
      <c r="Y127" s="177"/>
      <c r="Z127" s="917"/>
      <c r="AA127" s="177"/>
      <c r="AB127" s="917"/>
      <c r="AC127" s="177"/>
      <c r="AD127" s="917"/>
      <c r="AE127" s="177"/>
      <c r="AF127" s="902"/>
      <c r="AG127" s="178"/>
      <c r="AH127" s="902"/>
      <c r="AI127" s="177"/>
      <c r="AJ127" s="111"/>
      <c r="AK127" s="112"/>
      <c r="AL127" s="179"/>
      <c r="AM127" s="180"/>
      <c r="AN127" s="180"/>
      <c r="AO127" s="180"/>
      <c r="AP127" s="180"/>
      <c r="AQ127" s="180"/>
      <c r="AR127" s="113"/>
      <c r="AS127" s="181"/>
      <c r="AT127" s="180"/>
      <c r="AU127" s="113"/>
      <c r="AV127" s="181"/>
      <c r="AW127" s="180"/>
      <c r="AX127" s="180"/>
      <c r="AY127" s="180"/>
      <c r="AZ127" s="182"/>
      <c r="BA127" s="183"/>
      <c r="BB127" s="183"/>
      <c r="BC127" s="184"/>
    </row>
    <row r="128" spans="1:55" ht="6" customHeight="1" x14ac:dyDescent="0.2">
      <c r="A128" s="149"/>
      <c r="B128" s="185"/>
      <c r="C128" s="185"/>
      <c r="D128" s="185"/>
      <c r="E128" s="185"/>
      <c r="F128" s="185"/>
      <c r="G128" s="185"/>
      <c r="H128" s="185"/>
      <c r="I128" s="918"/>
      <c r="J128" s="918"/>
      <c r="K128" s="185"/>
      <c r="L128" s="185"/>
      <c r="M128" s="185"/>
      <c r="N128" s="185"/>
      <c r="O128" s="185"/>
      <c r="P128" s="185"/>
      <c r="Q128" s="185"/>
      <c r="R128" s="185"/>
      <c r="S128" s="185"/>
      <c r="T128" s="185"/>
      <c r="U128" s="185"/>
      <c r="V128" s="185"/>
      <c r="W128" s="185"/>
      <c r="X128" s="185"/>
      <c r="Y128" s="185"/>
      <c r="Z128" s="185"/>
      <c r="AA128" s="185"/>
      <c r="AB128" s="185"/>
      <c r="AC128" s="185"/>
      <c r="AD128" s="185"/>
      <c r="AE128" s="185"/>
      <c r="AF128" s="185"/>
      <c r="AG128" s="185"/>
      <c r="AH128" s="185"/>
      <c r="AI128" s="185"/>
      <c r="AJ128" s="185"/>
      <c r="AK128" s="186"/>
      <c r="AL128" s="186"/>
      <c r="AM128" s="186"/>
      <c r="AN128" s="186"/>
      <c r="AO128" s="186"/>
      <c r="AP128" s="186"/>
      <c r="AQ128" s="187"/>
      <c r="AR128" s="186"/>
      <c r="AS128" s="186"/>
      <c r="AT128" s="186"/>
      <c r="AU128" s="186"/>
      <c r="AV128" s="186"/>
      <c r="AW128" s="186"/>
      <c r="AX128" s="186"/>
      <c r="AY128" s="186"/>
      <c r="AZ128" s="186"/>
      <c r="BA128" s="186"/>
      <c r="BB128" s="186"/>
      <c r="BC128" s="149"/>
    </row>
    <row r="129" spans="1:55" ht="72" customHeight="1" x14ac:dyDescent="0.2">
      <c r="A129" s="870">
        <v>14</v>
      </c>
      <c r="B129" s="154" t="s">
        <v>1704</v>
      </c>
      <c r="C129" s="155" t="s">
        <v>1705</v>
      </c>
      <c r="D129" s="156" t="s">
        <v>21</v>
      </c>
      <c r="E129" s="156" t="s">
        <v>1890</v>
      </c>
      <c r="F129" s="155" t="s">
        <v>1706</v>
      </c>
      <c r="G129" s="157" t="s">
        <v>1679</v>
      </c>
      <c r="H129" s="157" t="s">
        <v>1680</v>
      </c>
      <c r="I129" s="158" t="s">
        <v>1906</v>
      </c>
      <c r="J129" s="159">
        <f>+$N$3</f>
        <v>2019</v>
      </c>
      <c r="K129" s="157" t="s">
        <v>1923</v>
      </c>
      <c r="L129" s="158" t="s">
        <v>1951</v>
      </c>
      <c r="M129" s="155" t="s">
        <v>1707</v>
      </c>
      <c r="N129" s="155" t="s">
        <v>1708</v>
      </c>
      <c r="O129" s="155" t="s">
        <v>1709</v>
      </c>
      <c r="P129" s="155" t="s">
        <v>1961</v>
      </c>
      <c r="Q129" s="155" t="s">
        <v>1952</v>
      </c>
      <c r="R129" s="160">
        <f>SUM(R130:R136)</f>
        <v>0</v>
      </c>
      <c r="S129" s="161">
        <f t="shared" ref="S129:AK129" si="78">SUM(S130:S136)</f>
        <v>0</v>
      </c>
      <c r="T129" s="162">
        <f t="shared" si="78"/>
        <v>0</v>
      </c>
      <c r="U129" s="163">
        <f t="shared" si="78"/>
        <v>0</v>
      </c>
      <c r="V129" s="162">
        <f t="shared" si="78"/>
        <v>0</v>
      </c>
      <c r="W129" s="163">
        <f t="shared" si="78"/>
        <v>0</v>
      </c>
      <c r="X129" s="162">
        <f t="shared" si="78"/>
        <v>0</v>
      </c>
      <c r="Y129" s="163">
        <f t="shared" si="78"/>
        <v>0</v>
      </c>
      <c r="Z129" s="162">
        <f t="shared" si="78"/>
        <v>0</v>
      </c>
      <c r="AA129" s="163">
        <f t="shared" si="78"/>
        <v>0</v>
      </c>
      <c r="AB129" s="162">
        <f t="shared" si="78"/>
        <v>0</v>
      </c>
      <c r="AC129" s="163">
        <f t="shared" si="78"/>
        <v>0</v>
      </c>
      <c r="AD129" s="162">
        <f t="shared" si="78"/>
        <v>0</v>
      </c>
      <c r="AE129" s="163">
        <f t="shared" si="78"/>
        <v>0</v>
      </c>
      <c r="AF129" s="162">
        <f t="shared" si="78"/>
        <v>0</v>
      </c>
      <c r="AG129" s="164">
        <f t="shared" si="78"/>
        <v>0</v>
      </c>
      <c r="AH129" s="162">
        <f t="shared" si="78"/>
        <v>0</v>
      </c>
      <c r="AI129" s="163">
        <f t="shared" si="78"/>
        <v>0</v>
      </c>
      <c r="AJ129" s="165">
        <f t="shared" si="78"/>
        <v>0</v>
      </c>
      <c r="AK129" s="166">
        <f t="shared" si="78"/>
        <v>0</v>
      </c>
      <c r="AL129" s="849"/>
      <c r="AM129" s="850"/>
      <c r="AN129" s="850"/>
      <c r="AO129" s="850"/>
      <c r="AP129" s="850"/>
      <c r="AQ129" s="850"/>
      <c r="AR129" s="851"/>
      <c r="AS129" s="852"/>
      <c r="AT129" s="850"/>
      <c r="AU129" s="851"/>
      <c r="AV129" s="852"/>
      <c r="AW129" s="850"/>
      <c r="AX129" s="850"/>
      <c r="AY129" s="850"/>
      <c r="AZ129" s="853"/>
      <c r="BA129" s="41" t="s">
        <v>1685</v>
      </c>
      <c r="BB129" s="41" t="s">
        <v>1954</v>
      </c>
      <c r="BC129" s="42" t="s">
        <v>1686</v>
      </c>
    </row>
    <row r="130" spans="1:55" ht="28.5" customHeight="1" x14ac:dyDescent="0.2">
      <c r="A130" s="871"/>
      <c r="B130" s="873" t="str">
        <f>VLOOKUP($D$9,'PROYECTOS REGISTRADOS'!$A$2:$D$82,4,0)</f>
        <v>Construcción y mantenimiento de infraestructura municipal Tocancipá, Cundinamarca, Centro Oriente</v>
      </c>
      <c r="C130" s="876" t="str">
        <f>VLOOKUP($D$9,'PROYECTOS REGISTRADOS'!$A$2:$D$82,3,0)</f>
        <v>2016-25817-0036</v>
      </c>
      <c r="D130" s="879" t="s">
        <v>1043</v>
      </c>
      <c r="E130" s="882" t="str">
        <f>IF(D130=0,"0-0",(VLOOKUP(D130,'CONSOLIDADO PLAN DESARROLLO'!$EL$9:$ET$304,2,0)))</f>
        <v>Realizar el mantenimiento de infraestructura para la prevención y atención de desastres</v>
      </c>
      <c r="F130" s="885" t="str">
        <f>IF(D130=0,"0-0",(VLOOKUP(D130,'CONSOLIDADO PLAN DESARROLLO'!$EL$9:$ET$304,3,0)))</f>
        <v>infraestructuras mantenidas</v>
      </c>
      <c r="G130" s="888">
        <f>IF(D130=0,"0-0",(VLOOKUP(D130,'CONSOLIDADO PLAN DESARROLLO'!$EL$9:$ET$304,4,0)))</f>
        <v>1</v>
      </c>
      <c r="H130" s="891">
        <f>IF(D130=0,"0-0",(VLOOKUP(D130,'CONSOLIDADO PLAN DESARROLLO'!$EL$9:$ET$304,5,0)))</f>
        <v>1</v>
      </c>
      <c r="I130" s="894">
        <f>IF(D130=0,"0-0",(VLOOKUP(D130,'CONSOLIDADO PLAN DESARROLLO'!$EL$9:$ET$304,$R$3,0)))</f>
        <v>1</v>
      </c>
      <c r="J130" s="895"/>
      <c r="K130" s="906">
        <v>0</v>
      </c>
      <c r="L130" s="909">
        <v>0</v>
      </c>
      <c r="M130" s="799" t="s">
        <v>1935</v>
      </c>
      <c r="N130" s="798" t="s">
        <v>1928</v>
      </c>
      <c r="O130" s="800">
        <v>1</v>
      </c>
      <c r="P130" s="43">
        <v>0</v>
      </c>
      <c r="Q130" s="43">
        <v>0</v>
      </c>
      <c r="R130" s="912">
        <f>VLOOKUP($D130,'[4]Tablero Logro Metas 2019'!$AK$7:$AS$302,3,0)</f>
        <v>0</v>
      </c>
      <c r="S130" s="44">
        <v>0</v>
      </c>
      <c r="T130" s="915">
        <f>VLOOKUP($D130,'[4]Tablero Logro Metas 2019'!$AK$7:$AS$302,4,0)</f>
        <v>0</v>
      </c>
      <c r="U130" s="44">
        <v>0</v>
      </c>
      <c r="V130" s="915">
        <f>VLOOKUP($D130,'[4]Tablero Logro Metas 2019'!$AK$7:$AS$302,5,0)</f>
        <v>0</v>
      </c>
      <c r="W130" s="44">
        <v>0</v>
      </c>
      <c r="X130" s="915">
        <f>VLOOKUP($D130,'[4]Tablero Logro Metas 2019'!$AK$7:$AS$302,6,0)</f>
        <v>0</v>
      </c>
      <c r="Y130" s="44">
        <v>0</v>
      </c>
      <c r="Z130" s="915">
        <f>VLOOKUP($D130,'[4]Tablero Logro Metas 2019'!$AK$7:$AS$302,7,0)</f>
        <v>0</v>
      </c>
      <c r="AA130" s="44">
        <v>0</v>
      </c>
      <c r="AB130" s="915">
        <f>VLOOKUP($D130,'[4]Tablero Logro Metas 2019'!$AK$7:$AS$302,8,0)</f>
        <v>0</v>
      </c>
      <c r="AC130" s="44">
        <v>0</v>
      </c>
      <c r="AD130" s="915">
        <f>VLOOKUP($D130,'[4]Tablero Logro Metas 2019'!$AK$7:$AS$302,9,0)</f>
        <v>0</v>
      </c>
      <c r="AE130" s="44">
        <v>0</v>
      </c>
      <c r="AF130" s="900"/>
      <c r="AG130" s="44">
        <v>0</v>
      </c>
      <c r="AH130" s="900"/>
      <c r="AI130" s="44">
        <v>0</v>
      </c>
      <c r="AJ130" s="903">
        <f>+R130+T130+V130+X130+Z130+AB130+AD130+AF130+AH130</f>
        <v>0</v>
      </c>
      <c r="AK130" s="99">
        <f t="shared" ref="AK130:AK135" si="79">AC130+AE130+AG130+S130+U130+W130+Y130+AA130+AI130</f>
        <v>0</v>
      </c>
      <c r="AL130" s="47">
        <v>0</v>
      </c>
      <c r="AM130" s="48">
        <v>0</v>
      </c>
      <c r="AN130" s="48">
        <v>0</v>
      </c>
      <c r="AO130" s="48">
        <v>0</v>
      </c>
      <c r="AP130" s="48">
        <v>0</v>
      </c>
      <c r="AQ130" s="48">
        <v>0</v>
      </c>
      <c r="AR130" s="49">
        <f t="shared" ref="AR130:AR132" si="80">SUM(AL130:AQ130)</f>
        <v>0</v>
      </c>
      <c r="AS130" s="50">
        <v>0</v>
      </c>
      <c r="AT130" s="48">
        <v>0</v>
      </c>
      <c r="AU130" s="49">
        <f t="shared" ref="AU130:AU132" si="81">SUM(AS130:AT130)</f>
        <v>0</v>
      </c>
      <c r="AV130" s="50">
        <v>0</v>
      </c>
      <c r="AW130" s="48">
        <v>0</v>
      </c>
      <c r="AX130" s="48">
        <v>0</v>
      </c>
      <c r="AY130" s="48">
        <v>0</v>
      </c>
      <c r="AZ130" s="51">
        <v>0</v>
      </c>
      <c r="BA130" s="52"/>
      <c r="BB130" s="52"/>
      <c r="BC130" s="53" t="s">
        <v>1964</v>
      </c>
    </row>
    <row r="131" spans="1:55" ht="17.25" customHeight="1" x14ac:dyDescent="0.2">
      <c r="A131" s="871"/>
      <c r="B131" s="873"/>
      <c r="C131" s="876"/>
      <c r="D131" s="879"/>
      <c r="E131" s="883"/>
      <c r="F131" s="885"/>
      <c r="G131" s="888"/>
      <c r="H131" s="891"/>
      <c r="I131" s="896"/>
      <c r="J131" s="897"/>
      <c r="K131" s="906"/>
      <c r="L131" s="910"/>
      <c r="M131" s="797" t="s">
        <v>1944</v>
      </c>
      <c r="N131" s="798" t="s">
        <v>1928</v>
      </c>
      <c r="O131" s="800">
        <v>1</v>
      </c>
      <c r="P131" s="43">
        <v>0</v>
      </c>
      <c r="Q131" s="43">
        <v>0</v>
      </c>
      <c r="R131" s="913"/>
      <c r="S131" s="44">
        <v>0</v>
      </c>
      <c r="T131" s="916"/>
      <c r="U131" s="44">
        <v>0</v>
      </c>
      <c r="V131" s="916"/>
      <c r="W131" s="44">
        <v>0</v>
      </c>
      <c r="X131" s="916"/>
      <c r="Y131" s="44">
        <v>0</v>
      </c>
      <c r="Z131" s="916"/>
      <c r="AA131" s="44">
        <v>0</v>
      </c>
      <c r="AB131" s="916"/>
      <c r="AC131" s="44">
        <v>0</v>
      </c>
      <c r="AD131" s="916"/>
      <c r="AE131" s="44">
        <v>0</v>
      </c>
      <c r="AF131" s="901"/>
      <c r="AG131" s="44">
        <v>0</v>
      </c>
      <c r="AH131" s="901"/>
      <c r="AI131" s="44">
        <v>0</v>
      </c>
      <c r="AJ131" s="904"/>
      <c r="AK131" s="99">
        <f t="shared" si="79"/>
        <v>0</v>
      </c>
      <c r="AL131" s="47">
        <v>0</v>
      </c>
      <c r="AM131" s="48">
        <v>0</v>
      </c>
      <c r="AN131" s="48">
        <v>0</v>
      </c>
      <c r="AO131" s="48">
        <v>0</v>
      </c>
      <c r="AP131" s="48">
        <v>0</v>
      </c>
      <c r="AQ131" s="48">
        <v>0</v>
      </c>
      <c r="AR131" s="49">
        <f t="shared" si="80"/>
        <v>0</v>
      </c>
      <c r="AS131" s="50">
        <v>0</v>
      </c>
      <c r="AT131" s="48">
        <v>0</v>
      </c>
      <c r="AU131" s="49">
        <f t="shared" si="81"/>
        <v>0</v>
      </c>
      <c r="AV131" s="50">
        <v>0</v>
      </c>
      <c r="AW131" s="48">
        <v>0</v>
      </c>
      <c r="AX131" s="48">
        <v>0</v>
      </c>
      <c r="AY131" s="48">
        <v>0</v>
      </c>
      <c r="AZ131" s="51">
        <v>0</v>
      </c>
      <c r="BA131" s="52"/>
      <c r="BB131" s="52"/>
      <c r="BC131" s="53" t="s">
        <v>1964</v>
      </c>
    </row>
    <row r="132" spans="1:55" ht="17.25" customHeight="1" x14ac:dyDescent="0.2">
      <c r="A132" s="871"/>
      <c r="B132" s="873"/>
      <c r="C132" s="876"/>
      <c r="D132" s="879"/>
      <c r="E132" s="883"/>
      <c r="F132" s="885"/>
      <c r="G132" s="888"/>
      <c r="H132" s="891"/>
      <c r="I132" s="896"/>
      <c r="J132" s="897"/>
      <c r="K132" s="906"/>
      <c r="L132" s="910"/>
      <c r="M132" s="797" t="s">
        <v>1945</v>
      </c>
      <c r="N132" s="798" t="s">
        <v>1928</v>
      </c>
      <c r="O132" s="800">
        <v>1</v>
      </c>
      <c r="P132" s="43">
        <v>0</v>
      </c>
      <c r="Q132" s="43">
        <v>0</v>
      </c>
      <c r="R132" s="913"/>
      <c r="S132" s="44">
        <v>0</v>
      </c>
      <c r="T132" s="916"/>
      <c r="U132" s="44">
        <v>0</v>
      </c>
      <c r="V132" s="916"/>
      <c r="W132" s="44">
        <v>0</v>
      </c>
      <c r="X132" s="916"/>
      <c r="Y132" s="44">
        <v>0</v>
      </c>
      <c r="Z132" s="916"/>
      <c r="AA132" s="44">
        <v>0</v>
      </c>
      <c r="AB132" s="916"/>
      <c r="AC132" s="44">
        <v>0</v>
      </c>
      <c r="AD132" s="916"/>
      <c r="AE132" s="44">
        <v>0</v>
      </c>
      <c r="AF132" s="901"/>
      <c r="AG132" s="44">
        <v>0</v>
      </c>
      <c r="AH132" s="901"/>
      <c r="AI132" s="44">
        <v>0</v>
      </c>
      <c r="AJ132" s="904"/>
      <c r="AK132" s="99">
        <f t="shared" si="79"/>
        <v>0</v>
      </c>
      <c r="AL132" s="47">
        <v>0</v>
      </c>
      <c r="AM132" s="48">
        <v>0</v>
      </c>
      <c r="AN132" s="48">
        <v>0</v>
      </c>
      <c r="AO132" s="48">
        <v>0</v>
      </c>
      <c r="AP132" s="48">
        <v>0</v>
      </c>
      <c r="AQ132" s="48">
        <v>0</v>
      </c>
      <c r="AR132" s="49">
        <f t="shared" si="80"/>
        <v>0</v>
      </c>
      <c r="AS132" s="50">
        <v>0</v>
      </c>
      <c r="AT132" s="48">
        <v>0</v>
      </c>
      <c r="AU132" s="49">
        <f t="shared" si="81"/>
        <v>0</v>
      </c>
      <c r="AV132" s="50">
        <v>0</v>
      </c>
      <c r="AW132" s="48">
        <v>0</v>
      </c>
      <c r="AX132" s="48">
        <v>0</v>
      </c>
      <c r="AY132" s="48">
        <v>0</v>
      </c>
      <c r="AZ132" s="51">
        <v>0</v>
      </c>
      <c r="BA132" s="52"/>
      <c r="BB132" s="52"/>
      <c r="BC132" s="53" t="s">
        <v>1964</v>
      </c>
    </row>
    <row r="133" spans="1:55" ht="17.25" customHeight="1" x14ac:dyDescent="0.2">
      <c r="A133" s="871"/>
      <c r="B133" s="873"/>
      <c r="C133" s="876"/>
      <c r="D133" s="879"/>
      <c r="E133" s="883"/>
      <c r="F133" s="885"/>
      <c r="G133" s="888"/>
      <c r="H133" s="891"/>
      <c r="I133" s="896"/>
      <c r="J133" s="897"/>
      <c r="K133" s="906"/>
      <c r="L133" s="910"/>
      <c r="M133" s="167"/>
      <c r="N133" s="168"/>
      <c r="O133" s="169"/>
      <c r="P133" s="43"/>
      <c r="Q133" s="43"/>
      <c r="R133" s="913"/>
      <c r="S133" s="44"/>
      <c r="T133" s="916"/>
      <c r="U133" s="45"/>
      <c r="V133" s="916"/>
      <c r="W133" s="45"/>
      <c r="X133" s="916"/>
      <c r="Y133" s="45"/>
      <c r="Z133" s="916"/>
      <c r="AA133" s="45"/>
      <c r="AB133" s="916"/>
      <c r="AC133" s="45"/>
      <c r="AD133" s="916"/>
      <c r="AE133" s="45"/>
      <c r="AF133" s="901"/>
      <c r="AG133" s="46"/>
      <c r="AH133" s="901"/>
      <c r="AI133" s="45"/>
      <c r="AJ133" s="904"/>
      <c r="AK133" s="99">
        <f t="shared" si="79"/>
        <v>0</v>
      </c>
      <c r="AL133" s="47"/>
      <c r="AM133" s="48"/>
      <c r="AN133" s="48"/>
      <c r="AO133" s="48"/>
      <c r="AP133" s="48"/>
      <c r="AQ133" s="48"/>
      <c r="AR133" s="49">
        <f t="shared" ref="AR133:AR135" si="82">SUM(AL133:AQ133)</f>
        <v>0</v>
      </c>
      <c r="AS133" s="50"/>
      <c r="AT133" s="48"/>
      <c r="AU133" s="49">
        <f t="shared" ref="AU133:AU134" si="83">SUM(AS133:AT133)</f>
        <v>0</v>
      </c>
      <c r="AV133" s="50"/>
      <c r="AW133" s="48"/>
      <c r="AX133" s="48"/>
      <c r="AY133" s="48"/>
      <c r="AZ133" s="51"/>
      <c r="BA133" s="52"/>
      <c r="BB133" s="52"/>
      <c r="BC133" s="53"/>
    </row>
    <row r="134" spans="1:55" ht="17.25" customHeight="1" x14ac:dyDescent="0.2">
      <c r="A134" s="871"/>
      <c r="B134" s="873"/>
      <c r="C134" s="876"/>
      <c r="D134" s="879"/>
      <c r="E134" s="883"/>
      <c r="F134" s="885"/>
      <c r="G134" s="888"/>
      <c r="H134" s="891"/>
      <c r="I134" s="896"/>
      <c r="J134" s="897"/>
      <c r="K134" s="906"/>
      <c r="L134" s="910"/>
      <c r="M134" s="167"/>
      <c r="N134" s="168"/>
      <c r="O134" s="169"/>
      <c r="P134" s="43"/>
      <c r="Q134" s="43"/>
      <c r="R134" s="913"/>
      <c r="S134" s="44"/>
      <c r="T134" s="916"/>
      <c r="U134" s="45"/>
      <c r="V134" s="916"/>
      <c r="W134" s="45"/>
      <c r="X134" s="916"/>
      <c r="Y134" s="45"/>
      <c r="Z134" s="916"/>
      <c r="AA134" s="45"/>
      <c r="AB134" s="916"/>
      <c r="AC134" s="45"/>
      <c r="AD134" s="916"/>
      <c r="AE134" s="45"/>
      <c r="AF134" s="901"/>
      <c r="AG134" s="46"/>
      <c r="AH134" s="901"/>
      <c r="AI134" s="45"/>
      <c r="AJ134" s="904"/>
      <c r="AK134" s="99">
        <f t="shared" si="79"/>
        <v>0</v>
      </c>
      <c r="AL134" s="47"/>
      <c r="AM134" s="48"/>
      <c r="AN134" s="48"/>
      <c r="AO134" s="48"/>
      <c r="AP134" s="48"/>
      <c r="AQ134" s="48"/>
      <c r="AR134" s="49">
        <f t="shared" si="82"/>
        <v>0</v>
      </c>
      <c r="AS134" s="50"/>
      <c r="AT134" s="48"/>
      <c r="AU134" s="49">
        <f t="shared" si="83"/>
        <v>0</v>
      </c>
      <c r="AV134" s="50"/>
      <c r="AW134" s="48"/>
      <c r="AX134" s="48"/>
      <c r="AY134" s="48"/>
      <c r="AZ134" s="51"/>
      <c r="BA134" s="52"/>
      <c r="BB134" s="52"/>
      <c r="BC134" s="53"/>
    </row>
    <row r="135" spans="1:55" ht="17.25" customHeight="1" x14ac:dyDescent="0.2">
      <c r="A135" s="871"/>
      <c r="B135" s="874"/>
      <c r="C135" s="877"/>
      <c r="D135" s="880"/>
      <c r="E135" s="883"/>
      <c r="F135" s="886"/>
      <c r="G135" s="889"/>
      <c r="H135" s="892"/>
      <c r="I135" s="896"/>
      <c r="J135" s="897"/>
      <c r="K135" s="907"/>
      <c r="L135" s="910"/>
      <c r="M135" s="170"/>
      <c r="N135" s="171"/>
      <c r="O135" s="172"/>
      <c r="P135" s="100"/>
      <c r="Q135" s="100"/>
      <c r="R135" s="913"/>
      <c r="S135" s="101"/>
      <c r="T135" s="916"/>
      <c r="U135" s="102"/>
      <c r="V135" s="916"/>
      <c r="W135" s="102"/>
      <c r="X135" s="916"/>
      <c r="Y135" s="102"/>
      <c r="Z135" s="916"/>
      <c r="AA135" s="102"/>
      <c r="AB135" s="916"/>
      <c r="AC135" s="102"/>
      <c r="AD135" s="916"/>
      <c r="AE135" s="102"/>
      <c r="AF135" s="901"/>
      <c r="AG135" s="103"/>
      <c r="AH135" s="901"/>
      <c r="AI135" s="102"/>
      <c r="AJ135" s="905"/>
      <c r="AK135" s="99">
        <f t="shared" si="79"/>
        <v>0</v>
      </c>
      <c r="AL135" s="104"/>
      <c r="AM135" s="105"/>
      <c r="AN135" s="105"/>
      <c r="AO135" s="105"/>
      <c r="AP135" s="105"/>
      <c r="AQ135" s="105"/>
      <c r="AR135" s="49">
        <f t="shared" si="82"/>
        <v>0</v>
      </c>
      <c r="AS135" s="106"/>
      <c r="AT135" s="105"/>
      <c r="AU135" s="49">
        <f>SUM(AS135:AT135)</f>
        <v>0</v>
      </c>
      <c r="AV135" s="106"/>
      <c r="AW135" s="105"/>
      <c r="AX135" s="105"/>
      <c r="AY135" s="105"/>
      <c r="AZ135" s="107"/>
      <c r="BA135" s="108"/>
      <c r="BB135" s="108"/>
      <c r="BC135" s="109"/>
    </row>
    <row r="136" spans="1:55" ht="9.9499999999999993" customHeight="1" thickBot="1" x14ac:dyDescent="0.25">
      <c r="A136" s="872"/>
      <c r="B136" s="875"/>
      <c r="C136" s="878"/>
      <c r="D136" s="881"/>
      <c r="E136" s="884"/>
      <c r="F136" s="887"/>
      <c r="G136" s="890"/>
      <c r="H136" s="893"/>
      <c r="I136" s="898"/>
      <c r="J136" s="899"/>
      <c r="K136" s="908"/>
      <c r="L136" s="911"/>
      <c r="M136" s="173"/>
      <c r="N136" s="174"/>
      <c r="O136" s="175"/>
      <c r="P136" s="110"/>
      <c r="Q136" s="110"/>
      <c r="R136" s="914"/>
      <c r="S136" s="176"/>
      <c r="T136" s="917"/>
      <c r="U136" s="177"/>
      <c r="V136" s="917"/>
      <c r="W136" s="177"/>
      <c r="X136" s="917"/>
      <c r="Y136" s="177"/>
      <c r="Z136" s="917"/>
      <c r="AA136" s="177"/>
      <c r="AB136" s="917"/>
      <c r="AC136" s="177"/>
      <c r="AD136" s="917"/>
      <c r="AE136" s="177"/>
      <c r="AF136" s="902"/>
      <c r="AG136" s="178"/>
      <c r="AH136" s="902"/>
      <c r="AI136" s="177"/>
      <c r="AJ136" s="111"/>
      <c r="AK136" s="112"/>
      <c r="AL136" s="179"/>
      <c r="AM136" s="180"/>
      <c r="AN136" s="180"/>
      <c r="AO136" s="180"/>
      <c r="AP136" s="180"/>
      <c r="AQ136" s="180"/>
      <c r="AR136" s="113"/>
      <c r="AS136" s="181"/>
      <c r="AT136" s="180"/>
      <c r="AU136" s="113"/>
      <c r="AV136" s="181"/>
      <c r="AW136" s="180"/>
      <c r="AX136" s="180"/>
      <c r="AY136" s="180"/>
      <c r="AZ136" s="182"/>
      <c r="BA136" s="183"/>
      <c r="BB136" s="183"/>
      <c r="BC136" s="184"/>
    </row>
    <row r="137" spans="1:55" ht="6" customHeight="1" x14ac:dyDescent="0.2">
      <c r="A137" s="149"/>
      <c r="B137" s="185"/>
      <c r="C137" s="185"/>
      <c r="D137" s="185"/>
      <c r="E137" s="185"/>
      <c r="F137" s="185"/>
      <c r="G137" s="185"/>
      <c r="H137" s="185"/>
      <c r="I137" s="918"/>
      <c r="J137" s="918"/>
      <c r="K137" s="185"/>
      <c r="L137" s="185"/>
      <c r="M137" s="185"/>
      <c r="N137" s="185"/>
      <c r="O137" s="185"/>
      <c r="P137" s="185"/>
      <c r="Q137" s="185"/>
      <c r="R137" s="185"/>
      <c r="S137" s="185"/>
      <c r="T137" s="185"/>
      <c r="U137" s="185"/>
      <c r="V137" s="185"/>
      <c r="W137" s="185"/>
      <c r="X137" s="185"/>
      <c r="Y137" s="185"/>
      <c r="Z137" s="185"/>
      <c r="AA137" s="185"/>
      <c r="AB137" s="185"/>
      <c r="AC137" s="185"/>
      <c r="AD137" s="185"/>
      <c r="AE137" s="185"/>
      <c r="AF137" s="185"/>
      <c r="AG137" s="185"/>
      <c r="AH137" s="185"/>
      <c r="AI137" s="185"/>
      <c r="AJ137" s="185"/>
      <c r="AK137" s="186"/>
      <c r="AL137" s="186"/>
      <c r="AM137" s="186"/>
      <c r="AN137" s="186"/>
      <c r="AO137" s="186"/>
      <c r="AP137" s="186"/>
      <c r="AQ137" s="187"/>
      <c r="AR137" s="186"/>
      <c r="AS137" s="186"/>
      <c r="AT137" s="186"/>
      <c r="AU137" s="186"/>
      <c r="AV137" s="186"/>
      <c r="AW137" s="186"/>
      <c r="AX137" s="186"/>
      <c r="AY137" s="186"/>
      <c r="AZ137" s="186"/>
      <c r="BA137" s="186"/>
      <c r="BB137" s="186"/>
      <c r="BC137" s="149"/>
    </row>
    <row r="138" spans="1:55" ht="72" customHeight="1" x14ac:dyDescent="0.2">
      <c r="A138" s="870">
        <v>15</v>
      </c>
      <c r="B138" s="154" t="s">
        <v>1704</v>
      </c>
      <c r="C138" s="155" t="s">
        <v>1705</v>
      </c>
      <c r="D138" s="156" t="s">
        <v>21</v>
      </c>
      <c r="E138" s="156" t="s">
        <v>1890</v>
      </c>
      <c r="F138" s="155" t="s">
        <v>1706</v>
      </c>
      <c r="G138" s="157" t="s">
        <v>1679</v>
      </c>
      <c r="H138" s="157" t="s">
        <v>1680</v>
      </c>
      <c r="I138" s="158" t="s">
        <v>1906</v>
      </c>
      <c r="J138" s="159">
        <f>+$N$3</f>
        <v>2019</v>
      </c>
      <c r="K138" s="157" t="s">
        <v>1923</v>
      </c>
      <c r="L138" s="158" t="s">
        <v>1951</v>
      </c>
      <c r="M138" s="155" t="s">
        <v>1707</v>
      </c>
      <c r="N138" s="155" t="s">
        <v>1708</v>
      </c>
      <c r="O138" s="155" t="s">
        <v>1709</v>
      </c>
      <c r="P138" s="155" t="s">
        <v>1961</v>
      </c>
      <c r="Q138" s="155" t="s">
        <v>1952</v>
      </c>
      <c r="R138" s="160">
        <f>SUM(R139:R145)</f>
        <v>0</v>
      </c>
      <c r="S138" s="161">
        <f t="shared" ref="S138:AK138" si="84">SUM(S139:S145)</f>
        <v>0</v>
      </c>
      <c r="T138" s="162">
        <f t="shared" si="84"/>
        <v>0</v>
      </c>
      <c r="U138" s="163">
        <f t="shared" si="84"/>
        <v>0</v>
      </c>
      <c r="V138" s="162">
        <f t="shared" si="84"/>
        <v>0</v>
      </c>
      <c r="W138" s="163">
        <f t="shared" si="84"/>
        <v>0</v>
      </c>
      <c r="X138" s="162">
        <f t="shared" si="84"/>
        <v>0</v>
      </c>
      <c r="Y138" s="163">
        <f t="shared" si="84"/>
        <v>0</v>
      </c>
      <c r="Z138" s="162">
        <f t="shared" si="84"/>
        <v>221712000</v>
      </c>
      <c r="AA138" s="163">
        <f t="shared" si="84"/>
        <v>221712000</v>
      </c>
      <c r="AB138" s="162">
        <f t="shared" si="84"/>
        <v>0</v>
      </c>
      <c r="AC138" s="163">
        <f t="shared" si="84"/>
        <v>0</v>
      </c>
      <c r="AD138" s="162">
        <f t="shared" si="84"/>
        <v>90000000</v>
      </c>
      <c r="AE138" s="163">
        <f t="shared" si="84"/>
        <v>89363066.599999994</v>
      </c>
      <c r="AF138" s="162">
        <f t="shared" si="84"/>
        <v>0</v>
      </c>
      <c r="AG138" s="164">
        <f t="shared" si="84"/>
        <v>0</v>
      </c>
      <c r="AH138" s="162">
        <f t="shared" si="84"/>
        <v>0</v>
      </c>
      <c r="AI138" s="163">
        <f t="shared" si="84"/>
        <v>0</v>
      </c>
      <c r="AJ138" s="165">
        <f t="shared" si="84"/>
        <v>311712000</v>
      </c>
      <c r="AK138" s="166">
        <f t="shared" si="84"/>
        <v>311075066.60000002</v>
      </c>
      <c r="AL138" s="849"/>
      <c r="AM138" s="850"/>
      <c r="AN138" s="850"/>
      <c r="AO138" s="850"/>
      <c r="AP138" s="850"/>
      <c r="AQ138" s="850"/>
      <c r="AR138" s="851"/>
      <c r="AS138" s="852"/>
      <c r="AT138" s="850"/>
      <c r="AU138" s="851"/>
      <c r="AV138" s="852"/>
      <c r="AW138" s="850"/>
      <c r="AX138" s="850"/>
      <c r="AY138" s="850"/>
      <c r="AZ138" s="853"/>
      <c r="BA138" s="41" t="s">
        <v>1685</v>
      </c>
      <c r="BB138" s="41" t="s">
        <v>1954</v>
      </c>
      <c r="BC138" s="42" t="s">
        <v>1686</v>
      </c>
    </row>
    <row r="139" spans="1:55" ht="17.25" customHeight="1" x14ac:dyDescent="0.2">
      <c r="A139" s="871"/>
      <c r="B139" s="873" t="str">
        <f>VLOOKUP($D$9,'PROYECTOS REGISTRADOS'!$A$2:$D$82,4,0)</f>
        <v>Construcción y mantenimiento de infraestructura municipal Tocancipá, Cundinamarca, Centro Oriente</v>
      </c>
      <c r="C139" s="876" t="str">
        <f>VLOOKUP($D$9,'PROYECTOS REGISTRADOS'!$A$2:$D$82,3,0)</f>
        <v>2016-25817-0036</v>
      </c>
      <c r="D139" s="879" t="s">
        <v>1047</v>
      </c>
      <c r="E139" s="882" t="str">
        <f>IF(D139=0,"0-0",(VLOOKUP(D139,'CONSOLIDADO PLAN DESARROLLO'!$EL$9:$ET$304,2,0)))</f>
        <v>Realizar la construcción y ampliación de infraestructura de equipamiento municipal</v>
      </c>
      <c r="F139" s="885" t="str">
        <f>IF(D139=0,"0-0",(VLOOKUP(D139,'CONSOLIDADO PLAN DESARROLLO'!$EL$9:$ET$304,3,0)))</f>
        <v>infraestructuras construidas o ampliadas</v>
      </c>
      <c r="G139" s="888">
        <f>IF(D139=0,"0-0",(VLOOKUP(D139,'CONSOLIDADO PLAN DESARROLLO'!$EL$9:$ET$304,4,0)))</f>
        <v>0</v>
      </c>
      <c r="H139" s="891">
        <f>IF(D139=0,"0-0",(VLOOKUP(D139,'CONSOLIDADO PLAN DESARROLLO'!$EL$9:$ET$304,5,0)))</f>
        <v>3</v>
      </c>
      <c r="I139" s="894">
        <f>IF(D139=0,"0-0",(VLOOKUP(D139,'CONSOLIDADO PLAN DESARROLLO'!$EL$9:$ET$304,$R$3,0)))</f>
        <v>1</v>
      </c>
      <c r="J139" s="895"/>
      <c r="K139" s="906">
        <v>0.5</v>
      </c>
      <c r="L139" s="909">
        <v>1</v>
      </c>
      <c r="M139" s="797" t="s">
        <v>1938</v>
      </c>
      <c r="N139" s="798" t="s">
        <v>1928</v>
      </c>
      <c r="O139" s="800">
        <v>2</v>
      </c>
      <c r="P139" s="43">
        <v>0</v>
      </c>
      <c r="Q139" s="43">
        <v>0</v>
      </c>
      <c r="R139" s="912">
        <f>VLOOKUP($D139,'[4]Tablero Logro Metas 2019'!$AK$7:$AS$302,3,0)</f>
        <v>0</v>
      </c>
      <c r="S139" s="44">
        <v>0</v>
      </c>
      <c r="T139" s="915">
        <f>VLOOKUP($D139,'[4]Tablero Logro Metas 2019'!$AK$7:$AS$302,4,0)</f>
        <v>0</v>
      </c>
      <c r="U139" s="45">
        <v>0</v>
      </c>
      <c r="V139" s="915">
        <f>VLOOKUP($D139,'[4]Tablero Logro Metas 2019'!$AK$7:$AS$302,5,0)</f>
        <v>0</v>
      </c>
      <c r="W139" s="45">
        <v>0</v>
      </c>
      <c r="X139" s="915">
        <f>VLOOKUP($D139,'[4]Tablero Logro Metas 2019'!$AK$7:$AS$302,6,0)</f>
        <v>0</v>
      </c>
      <c r="Y139" s="45">
        <v>0</v>
      </c>
      <c r="Z139" s="915">
        <f>VLOOKUP($D139,'[4]Tablero Logro Metas 2019'!$AK$7:$AS$302,7,0)</f>
        <v>221712000</v>
      </c>
      <c r="AA139" s="45">
        <v>0</v>
      </c>
      <c r="AB139" s="915">
        <f>VLOOKUP($D139,'[4]Tablero Logro Metas 2019'!$AK$7:$AS$302,8,0)</f>
        <v>0</v>
      </c>
      <c r="AC139" s="45">
        <v>0</v>
      </c>
      <c r="AD139" s="915">
        <f>VLOOKUP($D139,'[4]Tablero Logro Metas 2019'!$AK$7:$AS$302,9,0)</f>
        <v>90000000</v>
      </c>
      <c r="AE139" s="45"/>
      <c r="AF139" s="900"/>
      <c r="AG139" s="46">
        <v>0</v>
      </c>
      <c r="AH139" s="900"/>
      <c r="AI139" s="45">
        <v>0</v>
      </c>
      <c r="AJ139" s="903">
        <f>+R139+T139+V139+X139+Z139+AB139+AD139+AF139+AH139</f>
        <v>311712000</v>
      </c>
      <c r="AK139" s="99">
        <f t="shared" ref="AK139:AK144" si="85">AC139+AE139+AG139+S139+U139+W139+Y139+AA139+AI139</f>
        <v>0</v>
      </c>
      <c r="AL139" s="47">
        <v>0</v>
      </c>
      <c r="AM139" s="48">
        <v>0</v>
      </c>
      <c r="AN139" s="48">
        <v>0</v>
      </c>
      <c r="AO139" s="48">
        <v>0</v>
      </c>
      <c r="AP139" s="48">
        <v>0</v>
      </c>
      <c r="AQ139" s="48">
        <v>0</v>
      </c>
      <c r="AR139" s="49">
        <f t="shared" ref="AR139" si="86">SUM(AL139:AQ139)</f>
        <v>0</v>
      </c>
      <c r="AS139" s="50">
        <v>0</v>
      </c>
      <c r="AT139" s="48">
        <v>0</v>
      </c>
      <c r="AU139" s="49">
        <f t="shared" ref="AU139" si="87">SUM(AS139:AT139)</f>
        <v>0</v>
      </c>
      <c r="AV139" s="50">
        <v>0</v>
      </c>
      <c r="AW139" s="48">
        <v>0</v>
      </c>
      <c r="AX139" s="48">
        <v>0</v>
      </c>
      <c r="AY139" s="48">
        <v>0</v>
      </c>
      <c r="AZ139" s="51">
        <v>0</v>
      </c>
      <c r="BA139" s="52"/>
      <c r="BB139" s="52"/>
      <c r="BC139" s="53" t="s">
        <v>1964</v>
      </c>
    </row>
    <row r="140" spans="1:55" ht="17.25" customHeight="1" x14ac:dyDescent="0.2">
      <c r="A140" s="871"/>
      <c r="B140" s="873"/>
      <c r="C140" s="876"/>
      <c r="D140" s="879"/>
      <c r="E140" s="883"/>
      <c r="F140" s="885"/>
      <c r="G140" s="888"/>
      <c r="H140" s="891"/>
      <c r="I140" s="896"/>
      <c r="J140" s="897"/>
      <c r="K140" s="906"/>
      <c r="L140" s="910"/>
      <c r="M140" s="797" t="s">
        <v>1932</v>
      </c>
      <c r="N140" s="798" t="s">
        <v>1928</v>
      </c>
      <c r="O140" s="800">
        <v>4</v>
      </c>
      <c r="P140" s="43">
        <v>1</v>
      </c>
      <c r="Q140" s="43">
        <v>1</v>
      </c>
      <c r="R140" s="913"/>
      <c r="S140" s="44">
        <v>0</v>
      </c>
      <c r="T140" s="916"/>
      <c r="U140" s="45">
        <v>0</v>
      </c>
      <c r="V140" s="916"/>
      <c r="W140" s="45">
        <v>0</v>
      </c>
      <c r="X140" s="916"/>
      <c r="Y140" s="45">
        <v>0</v>
      </c>
      <c r="Z140" s="916"/>
      <c r="AA140" s="45">
        <v>220712000</v>
      </c>
      <c r="AB140" s="916"/>
      <c r="AC140" s="45">
        <v>0</v>
      </c>
      <c r="AD140" s="916"/>
      <c r="AE140" s="45">
        <v>89363066.599999994</v>
      </c>
      <c r="AF140" s="901"/>
      <c r="AG140" s="46">
        <v>0</v>
      </c>
      <c r="AH140" s="901"/>
      <c r="AI140" s="45">
        <v>0</v>
      </c>
      <c r="AJ140" s="904"/>
      <c r="AK140" s="99">
        <f t="shared" si="85"/>
        <v>310075066.60000002</v>
      </c>
      <c r="AL140" s="47">
        <v>2504</v>
      </c>
      <c r="AM140" s="48">
        <v>3905</v>
      </c>
      <c r="AN140" s="48">
        <v>4211</v>
      </c>
      <c r="AO140" s="48">
        <v>8222</v>
      </c>
      <c r="AP140" s="48">
        <v>15646</v>
      </c>
      <c r="AQ140" s="48">
        <v>2553</v>
      </c>
      <c r="AR140" s="49">
        <f t="shared" ref="AR140:AR144" si="88">SUM(AL140:AQ140)</f>
        <v>37041</v>
      </c>
      <c r="AS140" s="50">
        <v>17873</v>
      </c>
      <c r="AT140" s="48">
        <v>19168</v>
      </c>
      <c r="AU140" s="49">
        <f t="shared" ref="AU140:AU143" si="89">SUM(AS140:AT140)</f>
        <v>37041</v>
      </c>
      <c r="AV140" s="50"/>
      <c r="AW140" s="48"/>
      <c r="AX140" s="48">
        <v>851</v>
      </c>
      <c r="AY140" s="48"/>
      <c r="AZ140" s="51"/>
      <c r="BA140" s="52"/>
      <c r="BB140" s="52"/>
      <c r="BC140" s="53" t="s">
        <v>1964</v>
      </c>
    </row>
    <row r="141" spans="1:55" ht="17.25" customHeight="1" x14ac:dyDescent="0.2">
      <c r="A141" s="871"/>
      <c r="B141" s="873"/>
      <c r="C141" s="876"/>
      <c r="D141" s="879"/>
      <c r="E141" s="883"/>
      <c r="F141" s="885"/>
      <c r="G141" s="888"/>
      <c r="H141" s="891"/>
      <c r="I141" s="896"/>
      <c r="J141" s="897"/>
      <c r="K141" s="906"/>
      <c r="L141" s="910"/>
      <c r="M141" s="797" t="s">
        <v>1944</v>
      </c>
      <c r="N141" s="798" t="s">
        <v>1928</v>
      </c>
      <c r="O141" s="800">
        <v>3</v>
      </c>
      <c r="P141" s="43">
        <v>1</v>
      </c>
      <c r="Q141" s="43">
        <v>1</v>
      </c>
      <c r="R141" s="913"/>
      <c r="S141" s="44">
        <v>0</v>
      </c>
      <c r="T141" s="916"/>
      <c r="U141" s="45">
        <v>0</v>
      </c>
      <c r="V141" s="916"/>
      <c r="W141" s="45">
        <v>0</v>
      </c>
      <c r="X141" s="916"/>
      <c r="Y141" s="45">
        <v>0</v>
      </c>
      <c r="Z141" s="916"/>
      <c r="AA141" s="45">
        <v>0</v>
      </c>
      <c r="AB141" s="916"/>
      <c r="AC141" s="45">
        <v>0</v>
      </c>
      <c r="AD141" s="916"/>
      <c r="AE141" s="45"/>
      <c r="AF141" s="901"/>
      <c r="AG141" s="46">
        <v>0</v>
      </c>
      <c r="AH141" s="901"/>
      <c r="AI141" s="45">
        <v>0</v>
      </c>
      <c r="AJ141" s="904"/>
      <c r="AK141" s="99">
        <f t="shared" si="85"/>
        <v>0</v>
      </c>
      <c r="AL141" s="47">
        <v>0</v>
      </c>
      <c r="AM141" s="48">
        <v>0</v>
      </c>
      <c r="AN141" s="48">
        <v>0</v>
      </c>
      <c r="AO141" s="48">
        <v>0</v>
      </c>
      <c r="AP141" s="48">
        <v>0</v>
      </c>
      <c r="AQ141" s="48">
        <v>0</v>
      </c>
      <c r="AR141" s="49">
        <f t="shared" si="88"/>
        <v>0</v>
      </c>
      <c r="AS141" s="50">
        <v>0</v>
      </c>
      <c r="AT141" s="48">
        <v>0</v>
      </c>
      <c r="AU141" s="49">
        <f t="shared" si="89"/>
        <v>0</v>
      </c>
      <c r="AV141" s="50">
        <v>0</v>
      </c>
      <c r="AW141" s="48">
        <v>0</v>
      </c>
      <c r="AX141" s="48">
        <v>0</v>
      </c>
      <c r="AY141" s="48">
        <v>0</v>
      </c>
      <c r="AZ141" s="51">
        <v>0</v>
      </c>
      <c r="BA141" s="52"/>
      <c r="BB141" s="52"/>
      <c r="BC141" s="53" t="s">
        <v>1964</v>
      </c>
    </row>
    <row r="142" spans="1:55" ht="17.25" customHeight="1" x14ac:dyDescent="0.2">
      <c r="A142" s="871"/>
      <c r="B142" s="873"/>
      <c r="C142" s="876"/>
      <c r="D142" s="879"/>
      <c r="E142" s="883"/>
      <c r="F142" s="885"/>
      <c r="G142" s="888"/>
      <c r="H142" s="891"/>
      <c r="I142" s="896"/>
      <c r="J142" s="897"/>
      <c r="K142" s="906"/>
      <c r="L142" s="910"/>
      <c r="M142" s="797" t="s">
        <v>1945</v>
      </c>
      <c r="N142" s="798" t="s">
        <v>1928</v>
      </c>
      <c r="O142" s="800">
        <v>3</v>
      </c>
      <c r="P142" s="43">
        <v>2</v>
      </c>
      <c r="Q142" s="43">
        <v>2</v>
      </c>
      <c r="R142" s="913"/>
      <c r="S142" s="44">
        <v>0</v>
      </c>
      <c r="T142" s="916"/>
      <c r="U142" s="45">
        <v>0</v>
      </c>
      <c r="V142" s="916"/>
      <c r="W142" s="45">
        <v>0</v>
      </c>
      <c r="X142" s="916"/>
      <c r="Y142" s="45">
        <v>0</v>
      </c>
      <c r="Z142" s="916"/>
      <c r="AA142" s="45">
        <v>1000000</v>
      </c>
      <c r="AB142" s="916"/>
      <c r="AC142" s="45">
        <v>0</v>
      </c>
      <c r="AD142" s="916"/>
      <c r="AE142" s="45"/>
      <c r="AF142" s="901"/>
      <c r="AG142" s="46">
        <v>0</v>
      </c>
      <c r="AH142" s="901"/>
      <c r="AI142" s="45">
        <v>0</v>
      </c>
      <c r="AJ142" s="904"/>
      <c r="AK142" s="99">
        <f t="shared" si="85"/>
        <v>1000000</v>
      </c>
      <c r="AL142" s="47">
        <v>2504</v>
      </c>
      <c r="AM142" s="48">
        <v>3905</v>
      </c>
      <c r="AN142" s="48">
        <v>4211</v>
      </c>
      <c r="AO142" s="48">
        <v>8222</v>
      </c>
      <c r="AP142" s="48">
        <v>15646</v>
      </c>
      <c r="AQ142" s="48">
        <v>2553</v>
      </c>
      <c r="AR142" s="49">
        <f t="shared" si="88"/>
        <v>37041</v>
      </c>
      <c r="AS142" s="50">
        <v>17873</v>
      </c>
      <c r="AT142" s="48">
        <v>19168</v>
      </c>
      <c r="AU142" s="49">
        <f t="shared" si="89"/>
        <v>37041</v>
      </c>
      <c r="AV142" s="50"/>
      <c r="AW142" s="48"/>
      <c r="AX142" s="48">
        <v>851</v>
      </c>
      <c r="AY142" s="48"/>
      <c r="AZ142" s="51"/>
      <c r="BA142" s="52"/>
      <c r="BB142" s="52"/>
      <c r="BC142" s="53" t="s">
        <v>1964</v>
      </c>
    </row>
    <row r="143" spans="1:55" ht="17.25" customHeight="1" x14ac:dyDescent="0.2">
      <c r="A143" s="871"/>
      <c r="B143" s="873"/>
      <c r="C143" s="876"/>
      <c r="D143" s="879"/>
      <c r="E143" s="883"/>
      <c r="F143" s="885"/>
      <c r="G143" s="888"/>
      <c r="H143" s="891"/>
      <c r="I143" s="896"/>
      <c r="J143" s="897"/>
      <c r="K143" s="906"/>
      <c r="L143" s="910"/>
      <c r="M143" s="167"/>
      <c r="N143" s="168"/>
      <c r="O143" s="169"/>
      <c r="P143" s="43"/>
      <c r="Q143" s="43"/>
      <c r="R143" s="913"/>
      <c r="S143" s="44"/>
      <c r="T143" s="916"/>
      <c r="U143" s="45"/>
      <c r="V143" s="916"/>
      <c r="W143" s="45"/>
      <c r="X143" s="916"/>
      <c r="Y143" s="45"/>
      <c r="Z143" s="916"/>
      <c r="AA143" s="45"/>
      <c r="AB143" s="916"/>
      <c r="AC143" s="45"/>
      <c r="AD143" s="916"/>
      <c r="AE143" s="45"/>
      <c r="AF143" s="901"/>
      <c r="AG143" s="46"/>
      <c r="AH143" s="901"/>
      <c r="AI143" s="45"/>
      <c r="AJ143" s="904"/>
      <c r="AK143" s="99">
        <f t="shared" si="85"/>
        <v>0</v>
      </c>
      <c r="AL143" s="47"/>
      <c r="AM143" s="48"/>
      <c r="AN143" s="48"/>
      <c r="AO143" s="48"/>
      <c r="AP143" s="48"/>
      <c r="AQ143" s="48"/>
      <c r="AR143" s="49">
        <f t="shared" si="88"/>
        <v>0</v>
      </c>
      <c r="AS143" s="50"/>
      <c r="AT143" s="48"/>
      <c r="AU143" s="49">
        <f t="shared" si="89"/>
        <v>0</v>
      </c>
      <c r="AV143" s="50"/>
      <c r="AW143" s="48"/>
      <c r="AX143" s="48"/>
      <c r="AY143" s="48"/>
      <c r="AZ143" s="51"/>
      <c r="BA143" s="52"/>
      <c r="BB143" s="52"/>
      <c r="BC143" s="53"/>
    </row>
    <row r="144" spans="1:55" ht="17.25" customHeight="1" x14ac:dyDescent="0.2">
      <c r="A144" s="871"/>
      <c r="B144" s="874"/>
      <c r="C144" s="877"/>
      <c r="D144" s="880"/>
      <c r="E144" s="883"/>
      <c r="F144" s="886"/>
      <c r="G144" s="889"/>
      <c r="H144" s="892"/>
      <c r="I144" s="896"/>
      <c r="J144" s="897"/>
      <c r="K144" s="907"/>
      <c r="L144" s="910"/>
      <c r="M144" s="170"/>
      <c r="N144" s="171"/>
      <c r="O144" s="172"/>
      <c r="P144" s="100"/>
      <c r="Q144" s="100"/>
      <c r="R144" s="913"/>
      <c r="S144" s="101"/>
      <c r="T144" s="916"/>
      <c r="U144" s="102"/>
      <c r="V144" s="916"/>
      <c r="W144" s="102"/>
      <c r="X144" s="916"/>
      <c r="Y144" s="102"/>
      <c r="Z144" s="916"/>
      <c r="AA144" s="102"/>
      <c r="AB144" s="916"/>
      <c r="AC144" s="102"/>
      <c r="AD144" s="916"/>
      <c r="AE144" s="102"/>
      <c r="AF144" s="901"/>
      <c r="AG144" s="103"/>
      <c r="AH144" s="901"/>
      <c r="AI144" s="102"/>
      <c r="AJ144" s="905"/>
      <c r="AK144" s="99">
        <f t="shared" si="85"/>
        <v>0</v>
      </c>
      <c r="AL144" s="104"/>
      <c r="AM144" s="105"/>
      <c r="AN144" s="105"/>
      <c r="AO144" s="105"/>
      <c r="AP144" s="105"/>
      <c r="AQ144" s="105"/>
      <c r="AR144" s="49">
        <f t="shared" si="88"/>
        <v>0</v>
      </c>
      <c r="AS144" s="106"/>
      <c r="AT144" s="105"/>
      <c r="AU144" s="49">
        <f>SUM(AS144:AT144)</f>
        <v>0</v>
      </c>
      <c r="AV144" s="106"/>
      <c r="AW144" s="105"/>
      <c r="AX144" s="105"/>
      <c r="AY144" s="105"/>
      <c r="AZ144" s="107"/>
      <c r="BA144" s="108"/>
      <c r="BB144" s="108"/>
      <c r="BC144" s="109"/>
    </row>
    <row r="145" spans="1:55" ht="9.9499999999999993" customHeight="1" thickBot="1" x14ac:dyDescent="0.25">
      <c r="A145" s="872"/>
      <c r="B145" s="875"/>
      <c r="C145" s="878"/>
      <c r="D145" s="881"/>
      <c r="E145" s="884"/>
      <c r="F145" s="887"/>
      <c r="G145" s="890"/>
      <c r="H145" s="893"/>
      <c r="I145" s="898"/>
      <c r="J145" s="899"/>
      <c r="K145" s="908"/>
      <c r="L145" s="911"/>
      <c r="M145" s="173"/>
      <c r="N145" s="174"/>
      <c r="O145" s="175"/>
      <c r="P145" s="110"/>
      <c r="Q145" s="110"/>
      <c r="R145" s="914"/>
      <c r="S145" s="176"/>
      <c r="T145" s="917"/>
      <c r="U145" s="177"/>
      <c r="V145" s="917"/>
      <c r="W145" s="177"/>
      <c r="X145" s="917"/>
      <c r="Y145" s="177"/>
      <c r="Z145" s="917"/>
      <c r="AA145" s="177"/>
      <c r="AB145" s="917"/>
      <c r="AC145" s="177"/>
      <c r="AD145" s="917"/>
      <c r="AE145" s="177"/>
      <c r="AF145" s="902"/>
      <c r="AG145" s="178"/>
      <c r="AH145" s="902"/>
      <c r="AI145" s="177"/>
      <c r="AJ145" s="111"/>
      <c r="AK145" s="112"/>
      <c r="AL145" s="179"/>
      <c r="AM145" s="180"/>
      <c r="AN145" s="180"/>
      <c r="AO145" s="180"/>
      <c r="AP145" s="180"/>
      <c r="AQ145" s="180"/>
      <c r="AR145" s="113"/>
      <c r="AS145" s="181"/>
      <c r="AT145" s="180"/>
      <c r="AU145" s="113"/>
      <c r="AV145" s="181"/>
      <c r="AW145" s="180"/>
      <c r="AX145" s="180"/>
      <c r="AY145" s="180"/>
      <c r="AZ145" s="182"/>
      <c r="BA145" s="183"/>
      <c r="BB145" s="183"/>
      <c r="BC145" s="184"/>
    </row>
    <row r="146" spans="1:55" ht="6" customHeight="1" x14ac:dyDescent="0.2">
      <c r="A146" s="149"/>
      <c r="B146" s="185"/>
      <c r="C146" s="185"/>
      <c r="D146" s="185"/>
      <c r="E146" s="185"/>
      <c r="F146" s="185"/>
      <c r="G146" s="185"/>
      <c r="H146" s="185"/>
      <c r="I146" s="918"/>
      <c r="J146" s="918"/>
      <c r="K146" s="185"/>
      <c r="L146" s="185"/>
      <c r="M146" s="185"/>
      <c r="N146" s="185"/>
      <c r="O146" s="185"/>
      <c r="P146" s="185"/>
      <c r="Q146" s="185"/>
      <c r="R146" s="185"/>
      <c r="S146" s="185"/>
      <c r="T146" s="185"/>
      <c r="U146" s="185"/>
      <c r="V146" s="185"/>
      <c r="W146" s="185"/>
      <c r="X146" s="185"/>
      <c r="Y146" s="185"/>
      <c r="Z146" s="185"/>
      <c r="AA146" s="185"/>
      <c r="AB146" s="185"/>
      <c r="AC146" s="185"/>
      <c r="AD146" s="185"/>
      <c r="AE146" s="185"/>
      <c r="AF146" s="185"/>
      <c r="AG146" s="185"/>
      <c r="AH146" s="185"/>
      <c r="AI146" s="185"/>
      <c r="AJ146" s="185"/>
      <c r="AK146" s="186"/>
      <c r="AL146" s="186"/>
      <c r="AM146" s="186"/>
      <c r="AN146" s="186"/>
      <c r="AO146" s="186"/>
      <c r="AP146" s="186"/>
      <c r="AQ146" s="187"/>
      <c r="AR146" s="186"/>
      <c r="AS146" s="186"/>
      <c r="AT146" s="186"/>
      <c r="AU146" s="186"/>
      <c r="AV146" s="186"/>
      <c r="AW146" s="186"/>
      <c r="AX146" s="186"/>
      <c r="AY146" s="186"/>
      <c r="AZ146" s="186"/>
      <c r="BA146" s="186"/>
      <c r="BB146" s="186"/>
      <c r="BC146" s="149"/>
    </row>
    <row r="147" spans="1:55" ht="72" customHeight="1" x14ac:dyDescent="0.2">
      <c r="A147" s="870">
        <v>16</v>
      </c>
      <c r="B147" s="154" t="s">
        <v>1704</v>
      </c>
      <c r="C147" s="155" t="s">
        <v>1705</v>
      </c>
      <c r="D147" s="156" t="s">
        <v>21</v>
      </c>
      <c r="E147" s="156" t="s">
        <v>1890</v>
      </c>
      <c r="F147" s="155" t="s">
        <v>1706</v>
      </c>
      <c r="G147" s="157" t="s">
        <v>1679</v>
      </c>
      <c r="H147" s="157" t="s">
        <v>1680</v>
      </c>
      <c r="I147" s="158" t="s">
        <v>1906</v>
      </c>
      <c r="J147" s="159">
        <f>+$N$3</f>
        <v>2019</v>
      </c>
      <c r="K147" s="157" t="s">
        <v>1923</v>
      </c>
      <c r="L147" s="158" t="s">
        <v>1951</v>
      </c>
      <c r="M147" s="155" t="s">
        <v>1707</v>
      </c>
      <c r="N147" s="155" t="s">
        <v>1708</v>
      </c>
      <c r="O147" s="155" t="s">
        <v>1709</v>
      </c>
      <c r="P147" s="155" t="s">
        <v>1961</v>
      </c>
      <c r="Q147" s="155" t="s">
        <v>1952</v>
      </c>
      <c r="R147" s="160">
        <f>SUM(R148:R154)</f>
        <v>0</v>
      </c>
      <c r="S147" s="161">
        <f t="shared" ref="S147:AK147" si="90">SUM(S148:S154)</f>
        <v>0</v>
      </c>
      <c r="T147" s="162">
        <f t="shared" si="90"/>
        <v>0</v>
      </c>
      <c r="U147" s="163">
        <f t="shared" si="90"/>
        <v>0</v>
      </c>
      <c r="V147" s="162">
        <f t="shared" si="90"/>
        <v>0</v>
      </c>
      <c r="W147" s="163">
        <f t="shared" si="90"/>
        <v>0</v>
      </c>
      <c r="X147" s="162">
        <f t="shared" si="90"/>
        <v>0</v>
      </c>
      <c r="Y147" s="163">
        <f t="shared" si="90"/>
        <v>0</v>
      </c>
      <c r="Z147" s="162">
        <f t="shared" si="90"/>
        <v>0</v>
      </c>
      <c r="AA147" s="163">
        <f t="shared" si="90"/>
        <v>0</v>
      </c>
      <c r="AB147" s="162">
        <f t="shared" si="90"/>
        <v>0</v>
      </c>
      <c r="AC147" s="163">
        <f t="shared" si="90"/>
        <v>0</v>
      </c>
      <c r="AD147" s="162">
        <f t="shared" si="90"/>
        <v>0</v>
      </c>
      <c r="AE147" s="163">
        <f t="shared" si="90"/>
        <v>0</v>
      </c>
      <c r="AF147" s="162">
        <f t="shared" si="90"/>
        <v>0</v>
      </c>
      <c r="AG147" s="164">
        <f t="shared" si="90"/>
        <v>0</v>
      </c>
      <c r="AH147" s="162">
        <f t="shared" si="90"/>
        <v>0</v>
      </c>
      <c r="AI147" s="163">
        <f t="shared" si="90"/>
        <v>0</v>
      </c>
      <c r="AJ147" s="165">
        <f t="shared" si="90"/>
        <v>0</v>
      </c>
      <c r="AK147" s="166">
        <f t="shared" si="90"/>
        <v>0</v>
      </c>
      <c r="AL147" s="849"/>
      <c r="AM147" s="850"/>
      <c r="AN147" s="850"/>
      <c r="AO147" s="850"/>
      <c r="AP147" s="850"/>
      <c r="AQ147" s="850"/>
      <c r="AR147" s="851"/>
      <c r="AS147" s="852"/>
      <c r="AT147" s="850"/>
      <c r="AU147" s="851"/>
      <c r="AV147" s="852"/>
      <c r="AW147" s="850"/>
      <c r="AX147" s="850"/>
      <c r="AY147" s="850"/>
      <c r="AZ147" s="853"/>
      <c r="BA147" s="41" t="s">
        <v>1685</v>
      </c>
      <c r="BB147" s="41" t="s">
        <v>1954</v>
      </c>
      <c r="BC147" s="42" t="s">
        <v>1686</v>
      </c>
    </row>
    <row r="148" spans="1:55" ht="22.5" customHeight="1" x14ac:dyDescent="0.2">
      <c r="A148" s="871"/>
      <c r="B148" s="873" t="str">
        <f>VLOOKUP($D$9,'PROYECTOS REGISTRADOS'!$A$2:$D$82,4,0)</f>
        <v>Construcción y mantenimiento de infraestructura municipal Tocancipá, Cundinamarca, Centro Oriente</v>
      </c>
      <c r="C148" s="876" t="str">
        <f>VLOOKUP($D$9,'PROYECTOS REGISTRADOS'!$A$2:$D$82,3,0)</f>
        <v>2016-25817-0036</v>
      </c>
      <c r="D148" s="879" t="s">
        <v>1050</v>
      </c>
      <c r="E148" s="882" t="str">
        <f>IF(D148=0,"0-0",(VLOOKUP(D148,'CONSOLIDADO PLAN DESARROLLO'!$EL$9:$ET$304,2,0)))</f>
        <v>Realizar el mantenimiento de infraestructura de equipamiento municipal</v>
      </c>
      <c r="F148" s="885" t="str">
        <f>IF(D148=0,"0-0",(VLOOKUP(D148,'CONSOLIDADO PLAN DESARROLLO'!$EL$9:$ET$304,3,0)))</f>
        <v>infraestructuras mantenidas</v>
      </c>
      <c r="G148" s="888">
        <f>IF(D148=0,"0-0",(VLOOKUP(D148,'CONSOLIDADO PLAN DESARROLLO'!$EL$9:$ET$304,4,0)))</f>
        <v>19</v>
      </c>
      <c r="H148" s="891">
        <f>IF(D148=0,"0-0",(VLOOKUP(D148,'CONSOLIDADO PLAN DESARROLLO'!$EL$9:$ET$304,5,0)))</f>
        <v>22</v>
      </c>
      <c r="I148" s="894">
        <f>IF(D148=0,"0-0",(VLOOKUP(D148,'CONSOLIDADO PLAN DESARROLLO'!$EL$9:$ET$304,$R$3,0)))</f>
        <v>4</v>
      </c>
      <c r="J148" s="895"/>
      <c r="K148" s="906">
        <v>0</v>
      </c>
      <c r="L148" s="909">
        <v>0</v>
      </c>
      <c r="M148" s="799" t="s">
        <v>1935</v>
      </c>
      <c r="N148" s="798" t="s">
        <v>1928</v>
      </c>
      <c r="O148" s="800">
        <v>4</v>
      </c>
      <c r="P148" s="43">
        <v>0</v>
      </c>
      <c r="Q148" s="43">
        <v>0</v>
      </c>
      <c r="R148" s="912">
        <f>VLOOKUP($D148,'[4]Tablero Logro Metas 2019'!$AK$7:$AS$302,3,0)</f>
        <v>0</v>
      </c>
      <c r="S148" s="44">
        <v>0</v>
      </c>
      <c r="T148" s="915">
        <f>VLOOKUP($D148,'[4]Tablero Logro Metas 2019'!$AK$7:$AS$302,4,0)</f>
        <v>0</v>
      </c>
      <c r="U148" s="44">
        <v>0</v>
      </c>
      <c r="V148" s="915">
        <f>VLOOKUP($D148,'[4]Tablero Logro Metas 2019'!$AK$7:$AS$302,5,0)</f>
        <v>0</v>
      </c>
      <c r="W148" s="44">
        <v>0</v>
      </c>
      <c r="X148" s="915">
        <f>VLOOKUP($D148,'[4]Tablero Logro Metas 2019'!$AK$7:$AS$302,6,0)</f>
        <v>0</v>
      </c>
      <c r="Y148" s="44">
        <v>0</v>
      </c>
      <c r="Z148" s="915">
        <f>VLOOKUP($D148,'[4]Tablero Logro Metas 2019'!$AK$7:$AS$302,7,0)</f>
        <v>0</v>
      </c>
      <c r="AA148" s="45">
        <v>0</v>
      </c>
      <c r="AB148" s="915">
        <f>VLOOKUP($D148,'[4]Tablero Logro Metas 2019'!$AK$7:$AS$302,8,0)</f>
        <v>0</v>
      </c>
      <c r="AC148" s="44">
        <v>0</v>
      </c>
      <c r="AD148" s="915">
        <f>VLOOKUP($D148,'[4]Tablero Logro Metas 2019'!$AK$7:$AS$302,9,0)</f>
        <v>0</v>
      </c>
      <c r="AE148" s="44">
        <v>0</v>
      </c>
      <c r="AF148" s="900"/>
      <c r="AG148" s="44">
        <v>0</v>
      </c>
      <c r="AH148" s="900"/>
      <c r="AI148" s="44">
        <v>0</v>
      </c>
      <c r="AJ148" s="903">
        <f>+R148+T148+V148+X148+Z148+AB148+AD148+AF148+AH148</f>
        <v>0</v>
      </c>
      <c r="AK148" s="99">
        <f t="shared" ref="AK148:AK153" si="91">AC148+AE148+AG148+S148+U148+W148+Y148+AA148+AI148</f>
        <v>0</v>
      </c>
      <c r="AL148" s="47">
        <v>0</v>
      </c>
      <c r="AM148" s="48">
        <v>0</v>
      </c>
      <c r="AN148" s="48">
        <v>0</v>
      </c>
      <c r="AO148" s="48">
        <v>0</v>
      </c>
      <c r="AP148" s="48">
        <v>0</v>
      </c>
      <c r="AQ148" s="48">
        <v>0</v>
      </c>
      <c r="AR148" s="49">
        <f t="shared" ref="AR148:AR151" si="92">SUM(AL148:AQ148)</f>
        <v>0</v>
      </c>
      <c r="AS148" s="50">
        <v>0</v>
      </c>
      <c r="AT148" s="48">
        <v>0</v>
      </c>
      <c r="AU148" s="49">
        <f t="shared" ref="AU148:AU151" si="93">SUM(AS148:AT148)</f>
        <v>0</v>
      </c>
      <c r="AV148" s="50">
        <v>0</v>
      </c>
      <c r="AW148" s="48">
        <v>0</v>
      </c>
      <c r="AX148" s="48">
        <v>0</v>
      </c>
      <c r="AY148" s="48">
        <v>0</v>
      </c>
      <c r="AZ148" s="51">
        <v>0</v>
      </c>
      <c r="BA148" s="52"/>
      <c r="BB148" s="52"/>
      <c r="BC148" s="53" t="s">
        <v>1964</v>
      </c>
    </row>
    <row r="149" spans="1:55" ht="17.25" customHeight="1" x14ac:dyDescent="0.2">
      <c r="A149" s="871"/>
      <c r="B149" s="873"/>
      <c r="C149" s="876"/>
      <c r="D149" s="879"/>
      <c r="E149" s="883"/>
      <c r="F149" s="885"/>
      <c r="G149" s="888"/>
      <c r="H149" s="891"/>
      <c r="I149" s="896"/>
      <c r="J149" s="897"/>
      <c r="K149" s="906"/>
      <c r="L149" s="910"/>
      <c r="M149" s="797" t="s">
        <v>1944</v>
      </c>
      <c r="N149" s="798" t="s">
        <v>1928</v>
      </c>
      <c r="O149" s="800">
        <v>1</v>
      </c>
      <c r="P149" s="43">
        <v>0</v>
      </c>
      <c r="Q149" s="43">
        <v>0</v>
      </c>
      <c r="R149" s="913"/>
      <c r="S149" s="44">
        <v>0</v>
      </c>
      <c r="T149" s="916"/>
      <c r="U149" s="44">
        <v>0</v>
      </c>
      <c r="V149" s="916"/>
      <c r="W149" s="44">
        <v>0</v>
      </c>
      <c r="X149" s="916"/>
      <c r="Y149" s="44">
        <v>0</v>
      </c>
      <c r="Z149" s="916"/>
      <c r="AA149" s="45">
        <v>0</v>
      </c>
      <c r="AB149" s="916"/>
      <c r="AC149" s="44">
        <v>0</v>
      </c>
      <c r="AD149" s="916"/>
      <c r="AE149" s="44">
        <v>0</v>
      </c>
      <c r="AF149" s="901"/>
      <c r="AG149" s="44">
        <v>0</v>
      </c>
      <c r="AH149" s="901"/>
      <c r="AI149" s="44">
        <v>0</v>
      </c>
      <c r="AJ149" s="904"/>
      <c r="AK149" s="99">
        <f t="shared" si="91"/>
        <v>0</v>
      </c>
      <c r="AL149" s="47">
        <v>0</v>
      </c>
      <c r="AM149" s="48">
        <v>0</v>
      </c>
      <c r="AN149" s="48">
        <v>0</v>
      </c>
      <c r="AO149" s="48">
        <v>0</v>
      </c>
      <c r="AP149" s="48">
        <v>0</v>
      </c>
      <c r="AQ149" s="48">
        <v>0</v>
      </c>
      <c r="AR149" s="49">
        <f t="shared" si="92"/>
        <v>0</v>
      </c>
      <c r="AS149" s="50">
        <v>0</v>
      </c>
      <c r="AT149" s="48">
        <v>0</v>
      </c>
      <c r="AU149" s="49">
        <f t="shared" si="93"/>
        <v>0</v>
      </c>
      <c r="AV149" s="50">
        <v>0</v>
      </c>
      <c r="AW149" s="48">
        <v>0</v>
      </c>
      <c r="AX149" s="48">
        <v>0</v>
      </c>
      <c r="AY149" s="48">
        <v>0</v>
      </c>
      <c r="AZ149" s="51">
        <v>0</v>
      </c>
      <c r="BA149" s="52"/>
      <c r="BB149" s="52"/>
      <c r="BC149" s="53" t="s">
        <v>1964</v>
      </c>
    </row>
    <row r="150" spans="1:55" ht="17.25" customHeight="1" x14ac:dyDescent="0.2">
      <c r="A150" s="871"/>
      <c r="B150" s="873"/>
      <c r="C150" s="876"/>
      <c r="D150" s="879"/>
      <c r="E150" s="883"/>
      <c r="F150" s="885"/>
      <c r="G150" s="888"/>
      <c r="H150" s="891"/>
      <c r="I150" s="896"/>
      <c r="J150" s="897"/>
      <c r="K150" s="906"/>
      <c r="L150" s="910"/>
      <c r="M150" s="797" t="s">
        <v>1945</v>
      </c>
      <c r="N150" s="798" t="s">
        <v>1928</v>
      </c>
      <c r="O150" s="800">
        <v>1</v>
      </c>
      <c r="P150" s="43">
        <v>0</v>
      </c>
      <c r="Q150" s="43">
        <v>0</v>
      </c>
      <c r="R150" s="913"/>
      <c r="S150" s="44">
        <v>0</v>
      </c>
      <c r="T150" s="916"/>
      <c r="U150" s="44">
        <v>0</v>
      </c>
      <c r="V150" s="916"/>
      <c r="W150" s="44">
        <v>0</v>
      </c>
      <c r="X150" s="916"/>
      <c r="Y150" s="44">
        <v>0</v>
      </c>
      <c r="Z150" s="916"/>
      <c r="AA150" s="45">
        <v>0</v>
      </c>
      <c r="AB150" s="916"/>
      <c r="AC150" s="44">
        <v>0</v>
      </c>
      <c r="AD150" s="916"/>
      <c r="AE150" s="44">
        <v>0</v>
      </c>
      <c r="AF150" s="901"/>
      <c r="AG150" s="44">
        <v>0</v>
      </c>
      <c r="AH150" s="901"/>
      <c r="AI150" s="44">
        <v>0</v>
      </c>
      <c r="AJ150" s="904"/>
      <c r="AK150" s="99">
        <f t="shared" si="91"/>
        <v>0</v>
      </c>
      <c r="AL150" s="47">
        <v>0</v>
      </c>
      <c r="AM150" s="48">
        <v>0</v>
      </c>
      <c r="AN150" s="48">
        <v>0</v>
      </c>
      <c r="AO150" s="48">
        <v>0</v>
      </c>
      <c r="AP150" s="48">
        <v>0</v>
      </c>
      <c r="AQ150" s="48">
        <v>0</v>
      </c>
      <c r="AR150" s="49">
        <f t="shared" si="92"/>
        <v>0</v>
      </c>
      <c r="AS150" s="50">
        <v>0</v>
      </c>
      <c r="AT150" s="48">
        <v>0</v>
      </c>
      <c r="AU150" s="49">
        <f t="shared" si="93"/>
        <v>0</v>
      </c>
      <c r="AV150" s="50">
        <v>0</v>
      </c>
      <c r="AW150" s="48">
        <v>0</v>
      </c>
      <c r="AX150" s="48">
        <v>0</v>
      </c>
      <c r="AY150" s="48">
        <v>0</v>
      </c>
      <c r="AZ150" s="51">
        <v>0</v>
      </c>
      <c r="BA150" s="52"/>
      <c r="BB150" s="52"/>
      <c r="BC150" s="53" t="s">
        <v>1964</v>
      </c>
    </row>
    <row r="151" spans="1:55" ht="46.5" customHeight="1" x14ac:dyDescent="0.2">
      <c r="A151" s="871"/>
      <c r="B151" s="873"/>
      <c r="C151" s="876"/>
      <c r="D151" s="879"/>
      <c r="E151" s="883"/>
      <c r="F151" s="885"/>
      <c r="G151" s="888"/>
      <c r="H151" s="891"/>
      <c r="I151" s="896"/>
      <c r="J151" s="897"/>
      <c r="K151" s="906"/>
      <c r="L151" s="910"/>
      <c r="M151" s="167" t="s">
        <v>1960</v>
      </c>
      <c r="N151" s="168" t="s">
        <v>1928</v>
      </c>
      <c r="O151" s="169"/>
      <c r="P151" s="43">
        <v>0</v>
      </c>
      <c r="Q151" s="43">
        <v>0</v>
      </c>
      <c r="R151" s="913"/>
      <c r="S151" s="44">
        <v>0</v>
      </c>
      <c r="T151" s="916"/>
      <c r="U151" s="44">
        <v>0</v>
      </c>
      <c r="V151" s="916"/>
      <c r="W151" s="44">
        <v>0</v>
      </c>
      <c r="X151" s="916"/>
      <c r="Y151" s="44">
        <v>0</v>
      </c>
      <c r="Z151" s="916"/>
      <c r="AA151" s="45">
        <v>0</v>
      </c>
      <c r="AB151" s="916"/>
      <c r="AC151" s="44">
        <v>0</v>
      </c>
      <c r="AD151" s="916"/>
      <c r="AE151" s="44">
        <v>0</v>
      </c>
      <c r="AF151" s="901"/>
      <c r="AG151" s="44">
        <v>0</v>
      </c>
      <c r="AH151" s="901"/>
      <c r="AI151" s="44">
        <v>0</v>
      </c>
      <c r="AJ151" s="904"/>
      <c r="AK151" s="99">
        <f t="shared" si="91"/>
        <v>0</v>
      </c>
      <c r="AL151" s="47">
        <v>0</v>
      </c>
      <c r="AM151" s="48">
        <v>0</v>
      </c>
      <c r="AN151" s="48">
        <v>0</v>
      </c>
      <c r="AO151" s="48">
        <v>0</v>
      </c>
      <c r="AP151" s="48">
        <v>0</v>
      </c>
      <c r="AQ151" s="48">
        <v>0</v>
      </c>
      <c r="AR151" s="49">
        <f t="shared" si="92"/>
        <v>0</v>
      </c>
      <c r="AS151" s="50">
        <v>0</v>
      </c>
      <c r="AT151" s="48">
        <v>0</v>
      </c>
      <c r="AU151" s="49">
        <f t="shared" si="93"/>
        <v>0</v>
      </c>
      <c r="AV151" s="50">
        <v>0</v>
      </c>
      <c r="AW151" s="48">
        <v>0</v>
      </c>
      <c r="AX151" s="48">
        <v>0</v>
      </c>
      <c r="AY151" s="48">
        <v>0</v>
      </c>
      <c r="AZ151" s="51">
        <v>0</v>
      </c>
      <c r="BA151" s="52"/>
      <c r="BB151" s="52"/>
      <c r="BC151" s="53" t="s">
        <v>1964</v>
      </c>
    </row>
    <row r="152" spans="1:55" ht="17.25" customHeight="1" x14ac:dyDescent="0.2">
      <c r="A152" s="871"/>
      <c r="B152" s="873"/>
      <c r="C152" s="876"/>
      <c r="D152" s="879"/>
      <c r="E152" s="883"/>
      <c r="F152" s="885"/>
      <c r="G152" s="888"/>
      <c r="H152" s="891"/>
      <c r="I152" s="896"/>
      <c r="J152" s="897"/>
      <c r="K152" s="906"/>
      <c r="L152" s="910"/>
      <c r="M152" s="167"/>
      <c r="N152" s="168"/>
      <c r="O152" s="169"/>
      <c r="P152" s="43"/>
      <c r="Q152" s="43"/>
      <c r="R152" s="913"/>
      <c r="S152" s="44"/>
      <c r="T152" s="916"/>
      <c r="U152" s="45"/>
      <c r="V152" s="916"/>
      <c r="W152" s="45"/>
      <c r="X152" s="916"/>
      <c r="Y152" s="45"/>
      <c r="Z152" s="916"/>
      <c r="AA152" s="45"/>
      <c r="AB152" s="916"/>
      <c r="AC152" s="45"/>
      <c r="AD152" s="916"/>
      <c r="AE152" s="45"/>
      <c r="AF152" s="901"/>
      <c r="AG152" s="46"/>
      <c r="AH152" s="901"/>
      <c r="AI152" s="45"/>
      <c r="AJ152" s="904"/>
      <c r="AK152" s="99">
        <f t="shared" si="91"/>
        <v>0</v>
      </c>
      <c r="AL152" s="47"/>
      <c r="AM152" s="48"/>
      <c r="AN152" s="48"/>
      <c r="AO152" s="48"/>
      <c r="AP152" s="48"/>
      <c r="AQ152" s="48"/>
      <c r="AR152" s="49">
        <f t="shared" ref="AR152:AR153" si="94">SUM(AL152:AQ152)</f>
        <v>0</v>
      </c>
      <c r="AS152" s="50"/>
      <c r="AT152" s="48"/>
      <c r="AU152" s="49">
        <f t="shared" ref="AU152" si="95">SUM(AS152:AT152)</f>
        <v>0</v>
      </c>
      <c r="AV152" s="50"/>
      <c r="AW152" s="48"/>
      <c r="AX152" s="48"/>
      <c r="AY152" s="48"/>
      <c r="AZ152" s="51"/>
      <c r="BA152" s="52"/>
      <c r="BB152" s="52"/>
      <c r="BC152" s="53"/>
    </row>
    <row r="153" spans="1:55" ht="17.25" customHeight="1" x14ac:dyDescent="0.2">
      <c r="A153" s="871"/>
      <c r="B153" s="874"/>
      <c r="C153" s="877"/>
      <c r="D153" s="880"/>
      <c r="E153" s="883"/>
      <c r="F153" s="886"/>
      <c r="G153" s="889"/>
      <c r="H153" s="892"/>
      <c r="I153" s="896"/>
      <c r="J153" s="897"/>
      <c r="K153" s="907"/>
      <c r="L153" s="910"/>
      <c r="M153" s="170"/>
      <c r="N153" s="171"/>
      <c r="O153" s="172"/>
      <c r="P153" s="100"/>
      <c r="Q153" s="100"/>
      <c r="R153" s="913"/>
      <c r="S153" s="101"/>
      <c r="T153" s="916"/>
      <c r="U153" s="102"/>
      <c r="V153" s="916"/>
      <c r="W153" s="102"/>
      <c r="X153" s="916"/>
      <c r="Y153" s="102"/>
      <c r="Z153" s="916"/>
      <c r="AA153" s="102"/>
      <c r="AB153" s="916"/>
      <c r="AC153" s="102"/>
      <c r="AD153" s="916"/>
      <c r="AE153" s="102"/>
      <c r="AF153" s="901"/>
      <c r="AG153" s="103"/>
      <c r="AH153" s="901"/>
      <c r="AI153" s="102"/>
      <c r="AJ153" s="905"/>
      <c r="AK153" s="99">
        <f t="shared" si="91"/>
        <v>0</v>
      </c>
      <c r="AL153" s="104"/>
      <c r="AM153" s="105"/>
      <c r="AN153" s="105"/>
      <c r="AO153" s="105"/>
      <c r="AP153" s="105"/>
      <c r="AQ153" s="105"/>
      <c r="AR153" s="49">
        <f t="shared" si="94"/>
        <v>0</v>
      </c>
      <c r="AS153" s="106"/>
      <c r="AT153" s="105"/>
      <c r="AU153" s="49">
        <f>SUM(AS153:AT153)</f>
        <v>0</v>
      </c>
      <c r="AV153" s="106"/>
      <c r="AW153" s="105"/>
      <c r="AX153" s="105"/>
      <c r="AY153" s="105"/>
      <c r="AZ153" s="107"/>
      <c r="BA153" s="108"/>
      <c r="BB153" s="108"/>
      <c r="BC153" s="109"/>
    </row>
    <row r="154" spans="1:55" ht="9.9499999999999993" customHeight="1" thickBot="1" x14ac:dyDescent="0.25">
      <c r="A154" s="872"/>
      <c r="B154" s="875"/>
      <c r="C154" s="878"/>
      <c r="D154" s="881"/>
      <c r="E154" s="884"/>
      <c r="F154" s="887"/>
      <c r="G154" s="890"/>
      <c r="H154" s="893"/>
      <c r="I154" s="898"/>
      <c r="J154" s="899"/>
      <c r="K154" s="908"/>
      <c r="L154" s="911"/>
      <c r="M154" s="173"/>
      <c r="N154" s="174"/>
      <c r="O154" s="175"/>
      <c r="P154" s="110"/>
      <c r="Q154" s="110"/>
      <c r="R154" s="914"/>
      <c r="S154" s="176"/>
      <c r="T154" s="917"/>
      <c r="U154" s="177"/>
      <c r="V154" s="917"/>
      <c r="W154" s="177"/>
      <c r="X154" s="917"/>
      <c r="Y154" s="177"/>
      <c r="Z154" s="917"/>
      <c r="AA154" s="177"/>
      <c r="AB154" s="917"/>
      <c r="AC154" s="177"/>
      <c r="AD154" s="917"/>
      <c r="AE154" s="177"/>
      <c r="AF154" s="902"/>
      <c r="AG154" s="178"/>
      <c r="AH154" s="902"/>
      <c r="AI154" s="177"/>
      <c r="AJ154" s="111"/>
      <c r="AK154" s="112"/>
      <c r="AL154" s="179"/>
      <c r="AM154" s="180"/>
      <c r="AN154" s="180"/>
      <c r="AO154" s="180"/>
      <c r="AP154" s="180"/>
      <c r="AQ154" s="180"/>
      <c r="AR154" s="113"/>
      <c r="AS154" s="181"/>
      <c r="AT154" s="180"/>
      <c r="AU154" s="113"/>
      <c r="AV154" s="181"/>
      <c r="AW154" s="180"/>
      <c r="AX154" s="180"/>
      <c r="AY154" s="180"/>
      <c r="AZ154" s="182"/>
      <c r="BA154" s="183"/>
      <c r="BB154" s="183"/>
      <c r="BC154" s="184"/>
    </row>
    <row r="155" spans="1:55" ht="6" customHeight="1" x14ac:dyDescent="0.2">
      <c r="A155" s="149"/>
      <c r="B155" s="185"/>
      <c r="C155" s="185"/>
      <c r="D155" s="185"/>
      <c r="E155" s="185"/>
      <c r="F155" s="185"/>
      <c r="G155" s="185"/>
      <c r="H155" s="185"/>
      <c r="I155" s="918"/>
      <c r="J155" s="918"/>
      <c r="K155" s="185"/>
      <c r="L155" s="185"/>
      <c r="M155" s="185"/>
      <c r="N155" s="185"/>
      <c r="O155" s="185"/>
      <c r="P155" s="185"/>
      <c r="Q155" s="185"/>
      <c r="R155" s="185"/>
      <c r="S155" s="185"/>
      <c r="T155" s="185"/>
      <c r="U155" s="185"/>
      <c r="V155" s="185"/>
      <c r="W155" s="185"/>
      <c r="X155" s="185"/>
      <c r="Y155" s="185"/>
      <c r="Z155" s="185"/>
      <c r="AA155" s="185"/>
      <c r="AB155" s="185"/>
      <c r="AC155" s="185"/>
      <c r="AD155" s="185"/>
      <c r="AE155" s="185"/>
      <c r="AF155" s="185"/>
      <c r="AG155" s="185"/>
      <c r="AH155" s="185"/>
      <c r="AI155" s="185"/>
      <c r="AJ155" s="185"/>
      <c r="AK155" s="186"/>
      <c r="AL155" s="186"/>
      <c r="AM155" s="186"/>
      <c r="AN155" s="186"/>
      <c r="AO155" s="186"/>
      <c r="AP155" s="186"/>
      <c r="AQ155" s="187"/>
      <c r="AR155" s="186"/>
      <c r="AS155" s="186"/>
      <c r="AT155" s="186"/>
      <c r="AU155" s="186"/>
      <c r="AV155" s="186"/>
      <c r="AW155" s="186"/>
      <c r="AX155" s="186"/>
      <c r="AY155" s="186"/>
      <c r="AZ155" s="186"/>
      <c r="BA155" s="186"/>
      <c r="BB155" s="186"/>
      <c r="BC155" s="149"/>
    </row>
    <row r="156" spans="1:55" ht="72" customHeight="1" x14ac:dyDescent="0.2">
      <c r="A156" s="870">
        <v>17</v>
      </c>
      <c r="B156" s="154" t="s">
        <v>1704</v>
      </c>
      <c r="C156" s="155" t="s">
        <v>1705</v>
      </c>
      <c r="D156" s="156" t="s">
        <v>21</v>
      </c>
      <c r="E156" s="156" t="s">
        <v>1890</v>
      </c>
      <c r="F156" s="155" t="s">
        <v>1706</v>
      </c>
      <c r="G156" s="157" t="s">
        <v>1679</v>
      </c>
      <c r="H156" s="157" t="s">
        <v>1680</v>
      </c>
      <c r="I156" s="158" t="s">
        <v>1906</v>
      </c>
      <c r="J156" s="159">
        <f>+$N$3</f>
        <v>2019</v>
      </c>
      <c r="K156" s="157" t="s">
        <v>1923</v>
      </c>
      <c r="L156" s="158" t="s">
        <v>1951</v>
      </c>
      <c r="M156" s="155" t="s">
        <v>1707</v>
      </c>
      <c r="N156" s="155" t="s">
        <v>1708</v>
      </c>
      <c r="O156" s="155" t="s">
        <v>1709</v>
      </c>
      <c r="P156" s="155" t="s">
        <v>1961</v>
      </c>
      <c r="Q156" s="155" t="s">
        <v>1952</v>
      </c>
      <c r="R156" s="160">
        <f>SUM(R157:R163)</f>
        <v>0</v>
      </c>
      <c r="S156" s="161">
        <f t="shared" ref="S156:AK156" si="96">SUM(S157:S163)</f>
        <v>0</v>
      </c>
      <c r="T156" s="162">
        <f t="shared" si="96"/>
        <v>0</v>
      </c>
      <c r="U156" s="163">
        <f t="shared" si="96"/>
        <v>0</v>
      </c>
      <c r="V156" s="162">
        <f t="shared" si="96"/>
        <v>0</v>
      </c>
      <c r="W156" s="163">
        <f t="shared" si="96"/>
        <v>0</v>
      </c>
      <c r="X156" s="162">
        <f t="shared" si="96"/>
        <v>0</v>
      </c>
      <c r="Y156" s="163">
        <f t="shared" si="96"/>
        <v>0</v>
      </c>
      <c r="Z156" s="162">
        <f t="shared" si="96"/>
        <v>0</v>
      </c>
      <c r="AA156" s="163">
        <f t="shared" si="96"/>
        <v>0</v>
      </c>
      <c r="AB156" s="162">
        <f t="shared" si="96"/>
        <v>0</v>
      </c>
      <c r="AC156" s="163">
        <f t="shared" si="96"/>
        <v>0</v>
      </c>
      <c r="AD156" s="162">
        <f t="shared" si="96"/>
        <v>0</v>
      </c>
      <c r="AE156" s="163">
        <f t="shared" si="96"/>
        <v>0</v>
      </c>
      <c r="AF156" s="162">
        <f t="shared" si="96"/>
        <v>0</v>
      </c>
      <c r="AG156" s="164">
        <f t="shared" si="96"/>
        <v>0</v>
      </c>
      <c r="AH156" s="162">
        <f t="shared" si="96"/>
        <v>0</v>
      </c>
      <c r="AI156" s="163">
        <f t="shared" si="96"/>
        <v>0</v>
      </c>
      <c r="AJ156" s="165">
        <f t="shared" si="96"/>
        <v>0</v>
      </c>
      <c r="AK156" s="166">
        <f t="shared" si="96"/>
        <v>0</v>
      </c>
      <c r="AL156" s="849"/>
      <c r="AM156" s="850"/>
      <c r="AN156" s="850"/>
      <c r="AO156" s="850"/>
      <c r="AP156" s="850"/>
      <c r="AQ156" s="850"/>
      <c r="AR156" s="851"/>
      <c r="AS156" s="852"/>
      <c r="AT156" s="850"/>
      <c r="AU156" s="851"/>
      <c r="AV156" s="852"/>
      <c r="AW156" s="850"/>
      <c r="AX156" s="850"/>
      <c r="AY156" s="850"/>
      <c r="AZ156" s="853"/>
      <c r="BA156" s="41" t="s">
        <v>1685</v>
      </c>
      <c r="BB156" s="41" t="s">
        <v>1954</v>
      </c>
      <c r="BC156" s="42" t="s">
        <v>1686</v>
      </c>
    </row>
    <row r="157" spans="1:55" ht="22.5" customHeight="1" x14ac:dyDescent="0.2">
      <c r="A157" s="871"/>
      <c r="B157" s="873" t="str">
        <f>VLOOKUP($D$9,'PROYECTOS REGISTRADOS'!$A$2:$D$82,4,0)</f>
        <v>Construcción y mantenimiento de infraestructura municipal Tocancipá, Cundinamarca, Centro Oriente</v>
      </c>
      <c r="C157" s="876" t="str">
        <f>VLOOKUP($D$9,'PROYECTOS REGISTRADOS'!$A$2:$D$82,3,0)</f>
        <v>2016-25817-0036</v>
      </c>
      <c r="D157" s="879" t="s">
        <v>1055</v>
      </c>
      <c r="E157" s="882" t="str">
        <f>IF(D157=0,"0-0",(VLOOKUP(D157,'CONSOLIDADO PLAN DESARROLLO'!$EL$9:$ET$304,2,0)))</f>
        <v>Constituir el mecanismo de gestión y financiación contemplados en el PDM para la estudios, diseños, construcción de un complejo deportivo nuevo</v>
      </c>
      <c r="F157" s="885" t="str">
        <f>IF(D157=0,"0-0",(VLOOKUP(D157,'CONSOLIDADO PLAN DESARROLLO'!$EL$9:$ET$304,3,0)))</f>
        <v>N° mecanismos adoptados</v>
      </c>
      <c r="G157" s="888">
        <f>IF(D157=0,"0-0",(VLOOKUP(D157,'CONSOLIDADO PLAN DESARROLLO'!$EL$9:$ET$304,4,0)))</f>
        <v>0</v>
      </c>
      <c r="H157" s="891">
        <f>IF(D157=0,"0-0",(VLOOKUP(D157,'CONSOLIDADO PLAN DESARROLLO'!$EL$9:$ET$304,5,0)))</f>
        <v>1</v>
      </c>
      <c r="I157" s="894">
        <f>IF(D157=0,"0-0",(VLOOKUP(D157,'CONSOLIDADO PLAN DESARROLLO'!$EL$9:$ET$304,$R$3,0)))</f>
        <v>0.2</v>
      </c>
      <c r="J157" s="895"/>
      <c r="K157" s="906">
        <v>0</v>
      </c>
      <c r="L157" s="909">
        <v>0</v>
      </c>
      <c r="M157" s="799" t="s">
        <v>1946</v>
      </c>
      <c r="N157" s="798" t="s">
        <v>1928</v>
      </c>
      <c r="O157" s="800">
        <v>1</v>
      </c>
      <c r="P157" s="43">
        <v>0</v>
      </c>
      <c r="Q157" s="43">
        <v>0</v>
      </c>
      <c r="R157" s="912">
        <f>VLOOKUP($D157,'[4]Tablero Logro Metas 2019'!$AK$7:$AS$302,3,0)</f>
        <v>0</v>
      </c>
      <c r="S157" s="44">
        <v>0</v>
      </c>
      <c r="T157" s="915">
        <f>VLOOKUP($D157,'[4]Tablero Logro Metas 2019'!$AK$7:$AS$302,4,0)</f>
        <v>0</v>
      </c>
      <c r="U157" s="44">
        <v>0</v>
      </c>
      <c r="V157" s="915">
        <f>VLOOKUP($D157,'[4]Tablero Logro Metas 2019'!$AK$7:$AS$302,5,0)</f>
        <v>0</v>
      </c>
      <c r="W157" s="44">
        <v>0</v>
      </c>
      <c r="X157" s="915">
        <f>VLOOKUP($D157,'[4]Tablero Logro Metas 2019'!$AK$7:$AS$302,6,0)</f>
        <v>0</v>
      </c>
      <c r="Y157" s="44">
        <v>0</v>
      </c>
      <c r="Z157" s="915">
        <f>VLOOKUP($D157,'[4]Tablero Logro Metas 2019'!$AK$7:$AS$302,7,0)</f>
        <v>0</v>
      </c>
      <c r="AA157" s="45">
        <v>0</v>
      </c>
      <c r="AB157" s="915">
        <f>VLOOKUP($D157,'[4]Tablero Logro Metas 2019'!$AK$7:$AS$302,8,0)</f>
        <v>0</v>
      </c>
      <c r="AC157" s="44">
        <v>0</v>
      </c>
      <c r="AD157" s="915">
        <f>VLOOKUP($D157,'[4]Tablero Logro Metas 2019'!$AK$7:$AS$302,9,0)</f>
        <v>0</v>
      </c>
      <c r="AE157" s="44">
        <v>0</v>
      </c>
      <c r="AF157" s="900"/>
      <c r="AG157" s="44">
        <v>0</v>
      </c>
      <c r="AH157" s="900"/>
      <c r="AI157" s="44">
        <v>0</v>
      </c>
      <c r="AJ157" s="903">
        <f>+R157+T157+V157+X157+Z157+AB157+AD157+AF157+AH157</f>
        <v>0</v>
      </c>
      <c r="AK157" s="99">
        <f t="shared" ref="AK157:AK162" si="97">AC157+AE157+AG157+S157+U157+W157+Y157+AA157+AI157</f>
        <v>0</v>
      </c>
      <c r="AL157" s="47">
        <v>0</v>
      </c>
      <c r="AM157" s="48">
        <v>0</v>
      </c>
      <c r="AN157" s="48">
        <v>0</v>
      </c>
      <c r="AO157" s="48">
        <v>0</v>
      </c>
      <c r="AP157" s="48">
        <v>0</v>
      </c>
      <c r="AQ157" s="48">
        <v>0</v>
      </c>
      <c r="AR157" s="49">
        <f t="shared" ref="AR157:AR161" si="98">SUM(AL157:AQ157)</f>
        <v>0</v>
      </c>
      <c r="AS157" s="50">
        <v>0</v>
      </c>
      <c r="AT157" s="48">
        <v>0</v>
      </c>
      <c r="AU157" s="49">
        <f t="shared" ref="AU157:AU161" si="99">SUM(AS157:AT157)</f>
        <v>0</v>
      </c>
      <c r="AV157" s="50">
        <v>0</v>
      </c>
      <c r="AW157" s="48">
        <v>0</v>
      </c>
      <c r="AX157" s="48">
        <v>0</v>
      </c>
      <c r="AY157" s="48">
        <v>0</v>
      </c>
      <c r="AZ157" s="51">
        <v>0</v>
      </c>
      <c r="BA157" s="52"/>
      <c r="BB157" s="52"/>
      <c r="BC157" s="53" t="s">
        <v>1964</v>
      </c>
    </row>
    <row r="158" spans="1:55" ht="17.25" customHeight="1" x14ac:dyDescent="0.2">
      <c r="A158" s="871"/>
      <c r="B158" s="873"/>
      <c r="C158" s="876"/>
      <c r="D158" s="879"/>
      <c r="E158" s="883"/>
      <c r="F158" s="885"/>
      <c r="G158" s="888"/>
      <c r="H158" s="891"/>
      <c r="I158" s="896"/>
      <c r="J158" s="897"/>
      <c r="K158" s="906"/>
      <c r="L158" s="910"/>
      <c r="M158" s="797" t="s">
        <v>1938</v>
      </c>
      <c r="N158" s="798" t="s">
        <v>1928</v>
      </c>
      <c r="O158" s="800">
        <v>1</v>
      </c>
      <c r="P158" s="43">
        <v>0</v>
      </c>
      <c r="Q158" s="43">
        <v>0</v>
      </c>
      <c r="R158" s="913"/>
      <c r="S158" s="44">
        <v>0</v>
      </c>
      <c r="T158" s="916"/>
      <c r="U158" s="44">
        <v>0</v>
      </c>
      <c r="V158" s="916"/>
      <c r="W158" s="44">
        <v>0</v>
      </c>
      <c r="X158" s="916"/>
      <c r="Y158" s="44">
        <v>0</v>
      </c>
      <c r="Z158" s="916"/>
      <c r="AA158" s="45">
        <v>0</v>
      </c>
      <c r="AB158" s="916"/>
      <c r="AC158" s="44">
        <v>0</v>
      </c>
      <c r="AD158" s="916"/>
      <c r="AE158" s="44">
        <v>0</v>
      </c>
      <c r="AF158" s="901"/>
      <c r="AG158" s="44">
        <v>0</v>
      </c>
      <c r="AH158" s="901"/>
      <c r="AI158" s="44">
        <v>0</v>
      </c>
      <c r="AJ158" s="904"/>
      <c r="AK158" s="99">
        <f t="shared" si="97"/>
        <v>0</v>
      </c>
      <c r="AL158" s="47">
        <v>0</v>
      </c>
      <c r="AM158" s="48">
        <v>0</v>
      </c>
      <c r="AN158" s="48">
        <v>0</v>
      </c>
      <c r="AO158" s="48">
        <v>0</v>
      </c>
      <c r="AP158" s="48">
        <v>0</v>
      </c>
      <c r="AQ158" s="48">
        <v>0</v>
      </c>
      <c r="AR158" s="49">
        <f t="shared" si="98"/>
        <v>0</v>
      </c>
      <c r="AS158" s="50">
        <v>0</v>
      </c>
      <c r="AT158" s="48">
        <v>0</v>
      </c>
      <c r="AU158" s="49">
        <f t="shared" si="99"/>
        <v>0</v>
      </c>
      <c r="AV158" s="50">
        <v>0</v>
      </c>
      <c r="AW158" s="48">
        <v>0</v>
      </c>
      <c r="AX158" s="48">
        <v>0</v>
      </c>
      <c r="AY158" s="48">
        <v>0</v>
      </c>
      <c r="AZ158" s="51">
        <v>0</v>
      </c>
      <c r="BA158" s="52"/>
      <c r="BB158" s="52"/>
      <c r="BC158" s="53" t="s">
        <v>1964</v>
      </c>
    </row>
    <row r="159" spans="1:55" ht="17.25" customHeight="1" x14ac:dyDescent="0.2">
      <c r="A159" s="871"/>
      <c r="B159" s="873"/>
      <c r="C159" s="876"/>
      <c r="D159" s="879"/>
      <c r="E159" s="883"/>
      <c r="F159" s="885"/>
      <c r="G159" s="888"/>
      <c r="H159" s="891"/>
      <c r="I159" s="896"/>
      <c r="J159" s="897"/>
      <c r="K159" s="906"/>
      <c r="L159" s="910"/>
      <c r="M159" s="797" t="s">
        <v>1932</v>
      </c>
      <c r="N159" s="798" t="s">
        <v>1928</v>
      </c>
      <c r="O159" s="800">
        <v>1</v>
      </c>
      <c r="P159" s="43">
        <v>0</v>
      </c>
      <c r="Q159" s="43">
        <v>0</v>
      </c>
      <c r="R159" s="913"/>
      <c r="S159" s="44">
        <v>0</v>
      </c>
      <c r="T159" s="916"/>
      <c r="U159" s="44">
        <v>0</v>
      </c>
      <c r="V159" s="916"/>
      <c r="W159" s="44">
        <v>0</v>
      </c>
      <c r="X159" s="916"/>
      <c r="Y159" s="44">
        <v>0</v>
      </c>
      <c r="Z159" s="916"/>
      <c r="AA159" s="45">
        <v>0</v>
      </c>
      <c r="AB159" s="916"/>
      <c r="AC159" s="44">
        <v>0</v>
      </c>
      <c r="AD159" s="916"/>
      <c r="AE159" s="44">
        <v>0</v>
      </c>
      <c r="AF159" s="901"/>
      <c r="AG159" s="44">
        <v>0</v>
      </c>
      <c r="AH159" s="901"/>
      <c r="AI159" s="44">
        <v>0</v>
      </c>
      <c r="AJ159" s="904"/>
      <c r="AK159" s="99">
        <f t="shared" si="97"/>
        <v>0</v>
      </c>
      <c r="AL159" s="47">
        <v>0</v>
      </c>
      <c r="AM159" s="48">
        <v>0</v>
      </c>
      <c r="AN159" s="48">
        <v>0</v>
      </c>
      <c r="AO159" s="48">
        <v>0</v>
      </c>
      <c r="AP159" s="48">
        <v>0</v>
      </c>
      <c r="AQ159" s="48">
        <v>0</v>
      </c>
      <c r="AR159" s="49">
        <f t="shared" si="98"/>
        <v>0</v>
      </c>
      <c r="AS159" s="50">
        <v>0</v>
      </c>
      <c r="AT159" s="48">
        <v>0</v>
      </c>
      <c r="AU159" s="49">
        <f t="shared" si="99"/>
        <v>0</v>
      </c>
      <c r="AV159" s="50">
        <v>0</v>
      </c>
      <c r="AW159" s="48">
        <v>0</v>
      </c>
      <c r="AX159" s="48">
        <v>0</v>
      </c>
      <c r="AY159" s="48">
        <v>0</v>
      </c>
      <c r="AZ159" s="51">
        <v>0</v>
      </c>
      <c r="BA159" s="52"/>
      <c r="BB159" s="52"/>
      <c r="BC159" s="53" t="s">
        <v>1964</v>
      </c>
    </row>
    <row r="160" spans="1:55" ht="17.25" customHeight="1" x14ac:dyDescent="0.2">
      <c r="A160" s="871"/>
      <c r="B160" s="873"/>
      <c r="C160" s="876"/>
      <c r="D160" s="879"/>
      <c r="E160" s="883"/>
      <c r="F160" s="885"/>
      <c r="G160" s="888"/>
      <c r="H160" s="891"/>
      <c r="I160" s="896"/>
      <c r="J160" s="897"/>
      <c r="K160" s="906"/>
      <c r="L160" s="910"/>
      <c r="M160" s="797" t="s">
        <v>1944</v>
      </c>
      <c r="N160" s="798" t="s">
        <v>1928</v>
      </c>
      <c r="O160" s="800">
        <v>1</v>
      </c>
      <c r="P160" s="43">
        <v>0</v>
      </c>
      <c r="Q160" s="43">
        <v>0</v>
      </c>
      <c r="R160" s="913"/>
      <c r="S160" s="44">
        <v>0</v>
      </c>
      <c r="T160" s="916"/>
      <c r="U160" s="44">
        <v>0</v>
      </c>
      <c r="V160" s="916"/>
      <c r="W160" s="44">
        <v>0</v>
      </c>
      <c r="X160" s="916"/>
      <c r="Y160" s="44">
        <v>0</v>
      </c>
      <c r="Z160" s="916"/>
      <c r="AA160" s="45">
        <v>0</v>
      </c>
      <c r="AB160" s="916"/>
      <c r="AC160" s="44">
        <v>0</v>
      </c>
      <c r="AD160" s="916"/>
      <c r="AE160" s="44">
        <v>0</v>
      </c>
      <c r="AF160" s="901"/>
      <c r="AG160" s="44">
        <v>0</v>
      </c>
      <c r="AH160" s="901"/>
      <c r="AI160" s="44">
        <v>0</v>
      </c>
      <c r="AJ160" s="904"/>
      <c r="AK160" s="99">
        <f t="shared" si="97"/>
        <v>0</v>
      </c>
      <c r="AL160" s="47">
        <v>0</v>
      </c>
      <c r="AM160" s="48">
        <v>0</v>
      </c>
      <c r="AN160" s="48">
        <v>0</v>
      </c>
      <c r="AO160" s="48">
        <v>0</v>
      </c>
      <c r="AP160" s="48">
        <v>0</v>
      </c>
      <c r="AQ160" s="48">
        <v>0</v>
      </c>
      <c r="AR160" s="49">
        <f t="shared" si="98"/>
        <v>0</v>
      </c>
      <c r="AS160" s="50">
        <v>0</v>
      </c>
      <c r="AT160" s="48">
        <v>0</v>
      </c>
      <c r="AU160" s="49">
        <f t="shared" si="99"/>
        <v>0</v>
      </c>
      <c r="AV160" s="50">
        <v>0</v>
      </c>
      <c r="AW160" s="48">
        <v>0</v>
      </c>
      <c r="AX160" s="48">
        <v>0</v>
      </c>
      <c r="AY160" s="48">
        <v>0</v>
      </c>
      <c r="AZ160" s="51">
        <v>0</v>
      </c>
      <c r="BA160" s="52"/>
      <c r="BB160" s="52"/>
      <c r="BC160" s="53" t="s">
        <v>1964</v>
      </c>
    </row>
    <row r="161" spans="1:55" ht="17.25" customHeight="1" x14ac:dyDescent="0.2">
      <c r="A161" s="871"/>
      <c r="B161" s="873"/>
      <c r="C161" s="876"/>
      <c r="D161" s="879"/>
      <c r="E161" s="883"/>
      <c r="F161" s="885"/>
      <c r="G161" s="888"/>
      <c r="H161" s="891"/>
      <c r="I161" s="896"/>
      <c r="J161" s="897"/>
      <c r="K161" s="906"/>
      <c r="L161" s="910"/>
      <c r="M161" s="797" t="s">
        <v>1945</v>
      </c>
      <c r="N161" s="798" t="s">
        <v>1928</v>
      </c>
      <c r="O161" s="800">
        <v>1</v>
      </c>
      <c r="P161" s="43">
        <v>0</v>
      </c>
      <c r="Q161" s="43">
        <v>0</v>
      </c>
      <c r="R161" s="913"/>
      <c r="S161" s="44">
        <v>0</v>
      </c>
      <c r="T161" s="916"/>
      <c r="U161" s="44">
        <v>0</v>
      </c>
      <c r="V161" s="916"/>
      <c r="W161" s="44">
        <v>0</v>
      </c>
      <c r="X161" s="916"/>
      <c r="Y161" s="44">
        <v>0</v>
      </c>
      <c r="Z161" s="916"/>
      <c r="AA161" s="45">
        <v>0</v>
      </c>
      <c r="AB161" s="916"/>
      <c r="AC161" s="44">
        <v>0</v>
      </c>
      <c r="AD161" s="916"/>
      <c r="AE161" s="44">
        <v>0</v>
      </c>
      <c r="AF161" s="901"/>
      <c r="AG161" s="44">
        <v>0</v>
      </c>
      <c r="AH161" s="901"/>
      <c r="AI161" s="44">
        <v>0</v>
      </c>
      <c r="AJ161" s="904"/>
      <c r="AK161" s="99">
        <f t="shared" si="97"/>
        <v>0</v>
      </c>
      <c r="AL161" s="47">
        <v>0</v>
      </c>
      <c r="AM161" s="48">
        <v>0</v>
      </c>
      <c r="AN161" s="48">
        <v>0</v>
      </c>
      <c r="AO161" s="48">
        <v>0</v>
      </c>
      <c r="AP161" s="48">
        <v>0</v>
      </c>
      <c r="AQ161" s="48">
        <v>0</v>
      </c>
      <c r="AR161" s="49">
        <f t="shared" si="98"/>
        <v>0</v>
      </c>
      <c r="AS161" s="50">
        <v>0</v>
      </c>
      <c r="AT161" s="48">
        <v>0</v>
      </c>
      <c r="AU161" s="49">
        <f t="shared" si="99"/>
        <v>0</v>
      </c>
      <c r="AV161" s="50">
        <v>0</v>
      </c>
      <c r="AW161" s="48">
        <v>0</v>
      </c>
      <c r="AX161" s="48">
        <v>0</v>
      </c>
      <c r="AY161" s="48">
        <v>0</v>
      </c>
      <c r="AZ161" s="51">
        <v>0</v>
      </c>
      <c r="BA161" s="52"/>
      <c r="BB161" s="52"/>
      <c r="BC161" s="53" t="s">
        <v>1964</v>
      </c>
    </row>
    <row r="162" spans="1:55" ht="17.25" customHeight="1" x14ac:dyDescent="0.2">
      <c r="A162" s="871"/>
      <c r="B162" s="874"/>
      <c r="C162" s="877"/>
      <c r="D162" s="880"/>
      <c r="E162" s="883"/>
      <c r="F162" s="886"/>
      <c r="G162" s="889"/>
      <c r="H162" s="892"/>
      <c r="I162" s="896"/>
      <c r="J162" s="897"/>
      <c r="K162" s="907"/>
      <c r="L162" s="910"/>
      <c r="M162" s="170"/>
      <c r="N162" s="171"/>
      <c r="O162" s="172"/>
      <c r="P162" s="100"/>
      <c r="Q162" s="100"/>
      <c r="R162" s="913"/>
      <c r="S162" s="101"/>
      <c r="T162" s="916"/>
      <c r="U162" s="102"/>
      <c r="V162" s="916"/>
      <c r="W162" s="102"/>
      <c r="X162" s="916"/>
      <c r="Y162" s="102"/>
      <c r="Z162" s="916"/>
      <c r="AA162" s="102"/>
      <c r="AB162" s="916"/>
      <c r="AC162" s="102"/>
      <c r="AD162" s="916"/>
      <c r="AE162" s="102"/>
      <c r="AF162" s="901"/>
      <c r="AG162" s="103"/>
      <c r="AH162" s="901"/>
      <c r="AI162" s="102"/>
      <c r="AJ162" s="905"/>
      <c r="AK162" s="99">
        <f t="shared" si="97"/>
        <v>0</v>
      </c>
      <c r="AL162" s="104"/>
      <c r="AM162" s="105"/>
      <c r="AN162" s="105"/>
      <c r="AO162" s="105"/>
      <c r="AP162" s="105"/>
      <c r="AQ162" s="105"/>
      <c r="AR162" s="49">
        <f t="shared" ref="AR162" si="100">SUM(AL162:AQ162)</f>
        <v>0</v>
      </c>
      <c r="AS162" s="106"/>
      <c r="AT162" s="105"/>
      <c r="AU162" s="49">
        <f>SUM(AS162:AT162)</f>
        <v>0</v>
      </c>
      <c r="AV162" s="106"/>
      <c r="AW162" s="105"/>
      <c r="AX162" s="105"/>
      <c r="AY162" s="105"/>
      <c r="AZ162" s="107"/>
      <c r="BA162" s="108"/>
      <c r="BB162" s="108"/>
      <c r="BC162" s="109"/>
    </row>
    <row r="163" spans="1:55" ht="9.9499999999999993" customHeight="1" thickBot="1" x14ac:dyDescent="0.25">
      <c r="A163" s="872"/>
      <c r="B163" s="875"/>
      <c r="C163" s="878"/>
      <c r="D163" s="881"/>
      <c r="E163" s="884"/>
      <c r="F163" s="887"/>
      <c r="G163" s="890"/>
      <c r="H163" s="893"/>
      <c r="I163" s="898"/>
      <c r="J163" s="899"/>
      <c r="K163" s="908"/>
      <c r="L163" s="911"/>
      <c r="M163" s="173"/>
      <c r="N163" s="174"/>
      <c r="O163" s="175"/>
      <c r="P163" s="110"/>
      <c r="Q163" s="110"/>
      <c r="R163" s="914"/>
      <c r="S163" s="176"/>
      <c r="T163" s="917"/>
      <c r="U163" s="177"/>
      <c r="V163" s="917"/>
      <c r="W163" s="177"/>
      <c r="X163" s="917"/>
      <c r="Y163" s="177"/>
      <c r="Z163" s="917"/>
      <c r="AA163" s="177"/>
      <c r="AB163" s="917"/>
      <c r="AC163" s="177"/>
      <c r="AD163" s="917"/>
      <c r="AE163" s="177"/>
      <c r="AF163" s="902"/>
      <c r="AG163" s="178"/>
      <c r="AH163" s="902"/>
      <c r="AI163" s="177"/>
      <c r="AJ163" s="111"/>
      <c r="AK163" s="112"/>
      <c r="AL163" s="179"/>
      <c r="AM163" s="180"/>
      <c r="AN163" s="180"/>
      <c r="AO163" s="180"/>
      <c r="AP163" s="180"/>
      <c r="AQ163" s="180"/>
      <c r="AR163" s="113"/>
      <c r="AS163" s="181"/>
      <c r="AT163" s="180"/>
      <c r="AU163" s="113"/>
      <c r="AV163" s="181"/>
      <c r="AW163" s="180"/>
      <c r="AX163" s="180"/>
      <c r="AY163" s="180"/>
      <c r="AZ163" s="182"/>
      <c r="BA163" s="183"/>
      <c r="BB163" s="183"/>
      <c r="BC163" s="184"/>
    </row>
    <row r="164" spans="1:55" ht="6" customHeight="1" x14ac:dyDescent="0.2">
      <c r="A164" s="149"/>
      <c r="B164" s="185"/>
      <c r="C164" s="185"/>
      <c r="D164" s="185"/>
      <c r="E164" s="185"/>
      <c r="F164" s="185"/>
      <c r="G164" s="185"/>
      <c r="H164" s="185"/>
      <c r="I164" s="918"/>
      <c r="J164" s="918"/>
      <c r="K164" s="185"/>
      <c r="L164" s="185"/>
      <c r="M164" s="185"/>
      <c r="N164" s="185"/>
      <c r="O164" s="185"/>
      <c r="P164" s="185"/>
      <c r="Q164" s="185"/>
      <c r="R164" s="185"/>
      <c r="S164" s="185"/>
      <c r="T164" s="185"/>
      <c r="U164" s="185"/>
      <c r="V164" s="185"/>
      <c r="W164" s="185"/>
      <c r="X164" s="185"/>
      <c r="Y164" s="185"/>
      <c r="Z164" s="185"/>
      <c r="AA164" s="185"/>
      <c r="AB164" s="185"/>
      <c r="AC164" s="185"/>
      <c r="AD164" s="185"/>
      <c r="AE164" s="185"/>
      <c r="AF164" s="185"/>
      <c r="AG164" s="185"/>
      <c r="AH164" s="185"/>
      <c r="AI164" s="185"/>
      <c r="AJ164" s="185"/>
      <c r="AK164" s="186"/>
      <c r="AL164" s="186"/>
      <c r="AM164" s="186"/>
      <c r="AN164" s="186"/>
      <c r="AO164" s="186"/>
      <c r="AP164" s="186"/>
      <c r="AQ164" s="187"/>
      <c r="AR164" s="186"/>
      <c r="AS164" s="186"/>
      <c r="AT164" s="186"/>
      <c r="AU164" s="186"/>
      <c r="AV164" s="186"/>
      <c r="AW164" s="186"/>
      <c r="AX164" s="186"/>
      <c r="AY164" s="186"/>
      <c r="AZ164" s="186"/>
      <c r="BA164" s="186"/>
      <c r="BB164" s="186"/>
      <c r="BC164" s="149"/>
    </row>
    <row r="165" spans="1:55" ht="72" customHeight="1" x14ac:dyDescent="0.2">
      <c r="A165" s="870">
        <v>18</v>
      </c>
      <c r="B165" s="154" t="s">
        <v>1704</v>
      </c>
      <c r="C165" s="155" t="s">
        <v>1705</v>
      </c>
      <c r="D165" s="156" t="s">
        <v>21</v>
      </c>
      <c r="E165" s="156" t="s">
        <v>1890</v>
      </c>
      <c r="F165" s="155" t="s">
        <v>1706</v>
      </c>
      <c r="G165" s="157" t="s">
        <v>1679</v>
      </c>
      <c r="H165" s="157" t="s">
        <v>1680</v>
      </c>
      <c r="I165" s="158" t="s">
        <v>1906</v>
      </c>
      <c r="J165" s="159">
        <f>+$N$3</f>
        <v>2019</v>
      </c>
      <c r="K165" s="157" t="s">
        <v>1923</v>
      </c>
      <c r="L165" s="158" t="s">
        <v>1951</v>
      </c>
      <c r="M165" s="155" t="s">
        <v>1707</v>
      </c>
      <c r="N165" s="155" t="s">
        <v>1708</v>
      </c>
      <c r="O165" s="155" t="s">
        <v>1709</v>
      </c>
      <c r="P165" s="155" t="s">
        <v>1961</v>
      </c>
      <c r="Q165" s="155" t="s">
        <v>1952</v>
      </c>
      <c r="R165" s="160">
        <f>SUM(R166:R172)</f>
        <v>0</v>
      </c>
      <c r="S165" s="161">
        <f t="shared" ref="S165:AK165" si="101">SUM(S166:S172)</f>
        <v>0</v>
      </c>
      <c r="T165" s="162">
        <f t="shared" si="101"/>
        <v>0</v>
      </c>
      <c r="U165" s="163">
        <f t="shared" si="101"/>
        <v>0</v>
      </c>
      <c r="V165" s="162">
        <f t="shared" si="101"/>
        <v>0</v>
      </c>
      <c r="W165" s="163">
        <f t="shared" si="101"/>
        <v>0</v>
      </c>
      <c r="X165" s="162">
        <f t="shared" si="101"/>
        <v>0</v>
      </c>
      <c r="Y165" s="163">
        <f t="shared" si="101"/>
        <v>0</v>
      </c>
      <c r="Z165" s="162">
        <f t="shared" si="101"/>
        <v>0</v>
      </c>
      <c r="AA165" s="163">
        <f t="shared" si="101"/>
        <v>0</v>
      </c>
      <c r="AB165" s="162">
        <f t="shared" si="101"/>
        <v>0</v>
      </c>
      <c r="AC165" s="163">
        <f t="shared" si="101"/>
        <v>0</v>
      </c>
      <c r="AD165" s="162">
        <f t="shared" si="101"/>
        <v>0</v>
      </c>
      <c r="AE165" s="163">
        <f t="shared" si="101"/>
        <v>0</v>
      </c>
      <c r="AF165" s="162">
        <f t="shared" si="101"/>
        <v>0</v>
      </c>
      <c r="AG165" s="164">
        <f t="shared" si="101"/>
        <v>0</v>
      </c>
      <c r="AH165" s="162">
        <f t="shared" si="101"/>
        <v>0</v>
      </c>
      <c r="AI165" s="163">
        <f t="shared" si="101"/>
        <v>0</v>
      </c>
      <c r="AJ165" s="165">
        <f t="shared" si="101"/>
        <v>0</v>
      </c>
      <c r="AK165" s="166">
        <f t="shared" si="101"/>
        <v>0</v>
      </c>
      <c r="AL165" s="849"/>
      <c r="AM165" s="850"/>
      <c r="AN165" s="850"/>
      <c r="AO165" s="850"/>
      <c r="AP165" s="850"/>
      <c r="AQ165" s="850"/>
      <c r="AR165" s="851"/>
      <c r="AS165" s="852"/>
      <c r="AT165" s="850"/>
      <c r="AU165" s="851"/>
      <c r="AV165" s="852"/>
      <c r="AW165" s="850"/>
      <c r="AX165" s="850"/>
      <c r="AY165" s="850"/>
      <c r="AZ165" s="853"/>
      <c r="BA165" s="41" t="s">
        <v>1685</v>
      </c>
      <c r="BB165" s="41" t="s">
        <v>1954</v>
      </c>
      <c r="BC165" s="42" t="s">
        <v>1686</v>
      </c>
    </row>
    <row r="166" spans="1:55" ht="45.75" customHeight="1" x14ac:dyDescent="0.2">
      <c r="A166" s="871"/>
      <c r="B166" s="873" t="str">
        <f>VLOOKUP($D$9,'PROYECTOS REGISTRADOS'!$A$2:$D$82,4,0)</f>
        <v>Construcción y mantenimiento de infraestructura municipal Tocancipá, Cundinamarca, Centro Oriente</v>
      </c>
      <c r="C166" s="876" t="str">
        <f>VLOOKUP($D$9,'PROYECTOS REGISTRADOS'!$A$2:$D$82,3,0)</f>
        <v>2016-25817-0036</v>
      </c>
      <c r="D166" s="879" t="s">
        <v>1058</v>
      </c>
      <c r="E166" s="882" t="str">
        <f>IF(D166=0,"0-0",(VLOOKUP(D166,'CONSOLIDADO PLAN DESARROLLO'!$EL$9:$ET$304,2,0)))</f>
        <v>Constituir el mecanismo de gestión y financiación contemplados en el PDM para la creación de un complejo Universitario en el Municipio cofinanciado con el departamento, la nación y universidades públicas y privadas nacionales y/o internacionales</v>
      </c>
      <c r="F166" s="885" t="str">
        <f>IF(D166=0,"0-0",(VLOOKUP(D166,'CONSOLIDADO PLAN DESARROLLO'!$EL$9:$ET$304,3,0)))</f>
        <v>N° mecanismos adoptados</v>
      </c>
      <c r="G166" s="888">
        <f>IF(D166=0,"0-0",(VLOOKUP(D166,'CONSOLIDADO PLAN DESARROLLO'!$EL$9:$ET$304,4,0)))</f>
        <v>0</v>
      </c>
      <c r="H166" s="891">
        <f>IF(D166=0,"0-0",(VLOOKUP(D166,'CONSOLIDADO PLAN DESARROLLO'!$EL$9:$ET$304,5,0)))</f>
        <v>0.3</v>
      </c>
      <c r="I166" s="894">
        <f>IF(D166=0,"0-0",(VLOOKUP(D166,'CONSOLIDADO PLAN DESARROLLO'!$EL$9:$ET$304,$R$3,0)))</f>
        <v>0.3</v>
      </c>
      <c r="J166" s="895"/>
      <c r="K166" s="906">
        <v>0</v>
      </c>
      <c r="L166" s="909">
        <v>0</v>
      </c>
      <c r="M166" s="799" t="s">
        <v>1946</v>
      </c>
      <c r="N166" s="798" t="s">
        <v>1928</v>
      </c>
      <c r="O166" s="800">
        <v>1</v>
      </c>
      <c r="P166" s="43">
        <v>0</v>
      </c>
      <c r="Q166" s="43">
        <v>0</v>
      </c>
      <c r="R166" s="912">
        <f>VLOOKUP($D166,'[4]Tablero Logro Metas 2019'!$AK$7:$AS$302,3,0)</f>
        <v>0</v>
      </c>
      <c r="S166" s="44">
        <v>0</v>
      </c>
      <c r="T166" s="915">
        <f>VLOOKUP($D166,'[4]Tablero Logro Metas 2019'!$AK$7:$AS$302,4,0)</f>
        <v>0</v>
      </c>
      <c r="U166" s="44">
        <v>0</v>
      </c>
      <c r="V166" s="915">
        <f>VLOOKUP($D166,'[4]Tablero Logro Metas 2019'!$AK$7:$AS$302,5,0)</f>
        <v>0</v>
      </c>
      <c r="W166" s="44">
        <v>0</v>
      </c>
      <c r="X166" s="915">
        <f>VLOOKUP($D166,'[4]Tablero Logro Metas 2019'!$AK$7:$AS$302,6,0)</f>
        <v>0</v>
      </c>
      <c r="Y166" s="44">
        <v>0</v>
      </c>
      <c r="Z166" s="915">
        <f>VLOOKUP($D166,'[4]Tablero Logro Metas 2019'!$AK$7:$AS$302,7,0)</f>
        <v>0</v>
      </c>
      <c r="AA166" s="44">
        <v>0</v>
      </c>
      <c r="AB166" s="915">
        <f>VLOOKUP($D166,'[4]Tablero Logro Metas 2019'!$AK$7:$AS$302,8,0)</f>
        <v>0</v>
      </c>
      <c r="AC166" s="44">
        <v>0</v>
      </c>
      <c r="AD166" s="915">
        <f>VLOOKUP($D166,'[4]Tablero Logro Metas 2019'!$AK$7:$AS$302,9,0)</f>
        <v>0</v>
      </c>
      <c r="AE166" s="44">
        <v>0</v>
      </c>
      <c r="AF166" s="900"/>
      <c r="AG166" s="44">
        <v>0</v>
      </c>
      <c r="AH166" s="900"/>
      <c r="AI166" s="44">
        <v>0</v>
      </c>
      <c r="AJ166" s="903">
        <f>+R166+T166+V166+X166+Z166+AB166+AD166+AF166+AH166</f>
        <v>0</v>
      </c>
      <c r="AK166" s="99">
        <f t="shared" ref="AK166:AK171" si="102">AC166+AE166+AG166+S166+U166+W166+Y166+AA166+AI166</f>
        <v>0</v>
      </c>
      <c r="AL166" s="47">
        <v>0</v>
      </c>
      <c r="AM166" s="48">
        <v>0</v>
      </c>
      <c r="AN166" s="48">
        <v>0</v>
      </c>
      <c r="AO166" s="48">
        <v>0</v>
      </c>
      <c r="AP166" s="48">
        <v>0</v>
      </c>
      <c r="AQ166" s="48">
        <v>0</v>
      </c>
      <c r="AR166" s="49">
        <f t="shared" ref="AR166:AR170" si="103">SUM(AL166:AQ166)</f>
        <v>0</v>
      </c>
      <c r="AS166" s="50">
        <v>0</v>
      </c>
      <c r="AT166" s="48">
        <v>0</v>
      </c>
      <c r="AU166" s="49">
        <f t="shared" ref="AU166:AU170" si="104">SUM(AS166:AT166)</f>
        <v>0</v>
      </c>
      <c r="AV166" s="50">
        <v>0</v>
      </c>
      <c r="AW166" s="48">
        <v>0</v>
      </c>
      <c r="AX166" s="48">
        <v>0</v>
      </c>
      <c r="AY166" s="48">
        <v>0</v>
      </c>
      <c r="AZ166" s="51">
        <v>0</v>
      </c>
      <c r="BA166" s="52"/>
      <c r="BB166" s="52"/>
      <c r="BC166" s="53" t="s">
        <v>1964</v>
      </c>
    </row>
    <row r="167" spans="1:55" ht="38.25" customHeight="1" x14ac:dyDescent="0.2">
      <c r="A167" s="871"/>
      <c r="B167" s="873"/>
      <c r="C167" s="876"/>
      <c r="D167" s="879"/>
      <c r="E167" s="883"/>
      <c r="F167" s="885"/>
      <c r="G167" s="888"/>
      <c r="H167" s="891"/>
      <c r="I167" s="896"/>
      <c r="J167" s="897"/>
      <c r="K167" s="906"/>
      <c r="L167" s="910"/>
      <c r="M167" s="797" t="s">
        <v>1938</v>
      </c>
      <c r="N167" s="798" t="s">
        <v>1928</v>
      </c>
      <c r="O167" s="800">
        <v>1</v>
      </c>
      <c r="P167" s="43">
        <v>0</v>
      </c>
      <c r="Q167" s="43">
        <v>0</v>
      </c>
      <c r="R167" s="913"/>
      <c r="S167" s="44">
        <v>0</v>
      </c>
      <c r="T167" s="916"/>
      <c r="U167" s="44">
        <v>0</v>
      </c>
      <c r="V167" s="916"/>
      <c r="W167" s="44">
        <v>0</v>
      </c>
      <c r="X167" s="916"/>
      <c r="Y167" s="44">
        <v>0</v>
      </c>
      <c r="Z167" s="916"/>
      <c r="AA167" s="44">
        <v>0</v>
      </c>
      <c r="AB167" s="916"/>
      <c r="AC167" s="44">
        <v>0</v>
      </c>
      <c r="AD167" s="916"/>
      <c r="AE167" s="44">
        <v>0</v>
      </c>
      <c r="AF167" s="901"/>
      <c r="AG167" s="44">
        <v>0</v>
      </c>
      <c r="AH167" s="901"/>
      <c r="AI167" s="44">
        <v>0</v>
      </c>
      <c r="AJ167" s="904"/>
      <c r="AK167" s="99">
        <f t="shared" si="102"/>
        <v>0</v>
      </c>
      <c r="AL167" s="47">
        <v>0</v>
      </c>
      <c r="AM167" s="48">
        <v>0</v>
      </c>
      <c r="AN167" s="48">
        <v>0</v>
      </c>
      <c r="AO167" s="48">
        <v>0</v>
      </c>
      <c r="AP167" s="48">
        <v>0</v>
      </c>
      <c r="AQ167" s="48">
        <v>0</v>
      </c>
      <c r="AR167" s="49">
        <f t="shared" si="103"/>
        <v>0</v>
      </c>
      <c r="AS167" s="50">
        <v>0</v>
      </c>
      <c r="AT167" s="48">
        <v>0</v>
      </c>
      <c r="AU167" s="49">
        <f t="shared" si="104"/>
        <v>0</v>
      </c>
      <c r="AV167" s="50">
        <v>0</v>
      </c>
      <c r="AW167" s="48">
        <v>0</v>
      </c>
      <c r="AX167" s="48">
        <v>0</v>
      </c>
      <c r="AY167" s="48">
        <v>0</v>
      </c>
      <c r="AZ167" s="51">
        <v>0</v>
      </c>
      <c r="BA167" s="52"/>
      <c r="BB167" s="52"/>
      <c r="BC167" s="53" t="s">
        <v>1964</v>
      </c>
    </row>
    <row r="168" spans="1:55" ht="30.75" customHeight="1" x14ac:dyDescent="0.2">
      <c r="A168" s="871"/>
      <c r="B168" s="873"/>
      <c r="C168" s="876"/>
      <c r="D168" s="879"/>
      <c r="E168" s="883"/>
      <c r="F168" s="885"/>
      <c r="G168" s="888"/>
      <c r="H168" s="891"/>
      <c r="I168" s="896"/>
      <c r="J168" s="897"/>
      <c r="K168" s="906"/>
      <c r="L168" s="910"/>
      <c r="M168" s="797" t="s">
        <v>1932</v>
      </c>
      <c r="N168" s="798" t="s">
        <v>1928</v>
      </c>
      <c r="O168" s="800">
        <v>1</v>
      </c>
      <c r="P168" s="43">
        <v>0</v>
      </c>
      <c r="Q168" s="43">
        <v>0</v>
      </c>
      <c r="R168" s="913"/>
      <c r="S168" s="44">
        <v>0</v>
      </c>
      <c r="T168" s="916"/>
      <c r="U168" s="44">
        <v>0</v>
      </c>
      <c r="V168" s="916"/>
      <c r="W168" s="44">
        <v>0</v>
      </c>
      <c r="X168" s="916"/>
      <c r="Y168" s="44">
        <v>0</v>
      </c>
      <c r="Z168" s="916"/>
      <c r="AA168" s="44">
        <v>0</v>
      </c>
      <c r="AB168" s="916"/>
      <c r="AC168" s="44">
        <v>0</v>
      </c>
      <c r="AD168" s="916"/>
      <c r="AE168" s="44">
        <v>0</v>
      </c>
      <c r="AF168" s="901"/>
      <c r="AG168" s="44">
        <v>0</v>
      </c>
      <c r="AH168" s="901"/>
      <c r="AI168" s="44">
        <v>0</v>
      </c>
      <c r="AJ168" s="904"/>
      <c r="AK168" s="99">
        <f t="shared" si="102"/>
        <v>0</v>
      </c>
      <c r="AL168" s="47">
        <v>0</v>
      </c>
      <c r="AM168" s="48">
        <v>0</v>
      </c>
      <c r="AN168" s="48">
        <v>0</v>
      </c>
      <c r="AO168" s="48">
        <v>0</v>
      </c>
      <c r="AP168" s="48">
        <v>0</v>
      </c>
      <c r="AQ168" s="48">
        <v>0</v>
      </c>
      <c r="AR168" s="49">
        <f t="shared" si="103"/>
        <v>0</v>
      </c>
      <c r="AS168" s="50">
        <v>0</v>
      </c>
      <c r="AT168" s="48">
        <v>0</v>
      </c>
      <c r="AU168" s="49">
        <f t="shared" si="104"/>
        <v>0</v>
      </c>
      <c r="AV168" s="50">
        <v>0</v>
      </c>
      <c r="AW168" s="48">
        <v>0</v>
      </c>
      <c r="AX168" s="48">
        <v>0</v>
      </c>
      <c r="AY168" s="48">
        <v>0</v>
      </c>
      <c r="AZ168" s="51">
        <v>0</v>
      </c>
      <c r="BA168" s="52"/>
      <c r="BB168" s="52"/>
      <c r="BC168" s="53" t="s">
        <v>1964</v>
      </c>
    </row>
    <row r="169" spans="1:55" ht="27" customHeight="1" x14ac:dyDescent="0.2">
      <c r="A169" s="871"/>
      <c r="B169" s="873"/>
      <c r="C169" s="876"/>
      <c r="D169" s="879"/>
      <c r="E169" s="883"/>
      <c r="F169" s="885"/>
      <c r="G169" s="888"/>
      <c r="H169" s="891"/>
      <c r="I169" s="896"/>
      <c r="J169" s="897"/>
      <c r="K169" s="906"/>
      <c r="L169" s="910"/>
      <c r="M169" s="797" t="s">
        <v>1944</v>
      </c>
      <c r="N169" s="798" t="s">
        <v>1928</v>
      </c>
      <c r="O169" s="800">
        <v>0</v>
      </c>
      <c r="P169" s="43">
        <v>0</v>
      </c>
      <c r="Q169" s="43">
        <v>0</v>
      </c>
      <c r="R169" s="913"/>
      <c r="S169" s="44">
        <v>0</v>
      </c>
      <c r="T169" s="916"/>
      <c r="U169" s="44">
        <v>0</v>
      </c>
      <c r="V169" s="916"/>
      <c r="W169" s="44">
        <v>0</v>
      </c>
      <c r="X169" s="916"/>
      <c r="Y169" s="44">
        <v>0</v>
      </c>
      <c r="Z169" s="916"/>
      <c r="AA169" s="44">
        <v>0</v>
      </c>
      <c r="AB169" s="916"/>
      <c r="AC169" s="44">
        <v>0</v>
      </c>
      <c r="AD169" s="916"/>
      <c r="AE169" s="44">
        <v>0</v>
      </c>
      <c r="AF169" s="901"/>
      <c r="AG169" s="44">
        <v>0</v>
      </c>
      <c r="AH169" s="901"/>
      <c r="AI169" s="44">
        <v>0</v>
      </c>
      <c r="AJ169" s="904"/>
      <c r="AK169" s="99">
        <f t="shared" si="102"/>
        <v>0</v>
      </c>
      <c r="AL169" s="47">
        <v>0</v>
      </c>
      <c r="AM169" s="48">
        <v>0</v>
      </c>
      <c r="AN169" s="48">
        <v>0</v>
      </c>
      <c r="AO169" s="48">
        <v>0</v>
      </c>
      <c r="AP169" s="48">
        <v>0</v>
      </c>
      <c r="AQ169" s="48">
        <v>0</v>
      </c>
      <c r="AR169" s="49">
        <f t="shared" si="103"/>
        <v>0</v>
      </c>
      <c r="AS169" s="50">
        <v>0</v>
      </c>
      <c r="AT169" s="48">
        <v>0</v>
      </c>
      <c r="AU169" s="49">
        <f t="shared" si="104"/>
        <v>0</v>
      </c>
      <c r="AV169" s="50">
        <v>0</v>
      </c>
      <c r="AW169" s="48">
        <v>0</v>
      </c>
      <c r="AX169" s="48">
        <v>0</v>
      </c>
      <c r="AY169" s="48">
        <v>0</v>
      </c>
      <c r="AZ169" s="51">
        <v>0</v>
      </c>
      <c r="BA169" s="52"/>
      <c r="BB169" s="52"/>
      <c r="BC169" s="53" t="s">
        <v>1964</v>
      </c>
    </row>
    <row r="170" spans="1:55" ht="17.25" customHeight="1" x14ac:dyDescent="0.2">
      <c r="A170" s="871"/>
      <c r="B170" s="873"/>
      <c r="C170" s="876"/>
      <c r="D170" s="879"/>
      <c r="E170" s="883"/>
      <c r="F170" s="885"/>
      <c r="G170" s="888"/>
      <c r="H170" s="891"/>
      <c r="I170" s="896"/>
      <c r="J170" s="897"/>
      <c r="K170" s="906"/>
      <c r="L170" s="910"/>
      <c r="M170" s="797" t="s">
        <v>1945</v>
      </c>
      <c r="N170" s="798" t="s">
        <v>1928</v>
      </c>
      <c r="O170" s="800">
        <v>0</v>
      </c>
      <c r="P170" s="43">
        <v>0</v>
      </c>
      <c r="Q170" s="43">
        <v>0</v>
      </c>
      <c r="R170" s="913"/>
      <c r="S170" s="44">
        <v>0</v>
      </c>
      <c r="T170" s="916"/>
      <c r="U170" s="44">
        <v>0</v>
      </c>
      <c r="V170" s="916"/>
      <c r="W170" s="44">
        <v>0</v>
      </c>
      <c r="X170" s="916"/>
      <c r="Y170" s="44">
        <v>0</v>
      </c>
      <c r="Z170" s="916"/>
      <c r="AA170" s="44">
        <v>0</v>
      </c>
      <c r="AB170" s="916"/>
      <c r="AC170" s="44">
        <v>0</v>
      </c>
      <c r="AD170" s="916"/>
      <c r="AE170" s="44">
        <v>0</v>
      </c>
      <c r="AF170" s="901"/>
      <c r="AG170" s="44">
        <v>0</v>
      </c>
      <c r="AH170" s="901"/>
      <c r="AI170" s="44">
        <v>0</v>
      </c>
      <c r="AJ170" s="904"/>
      <c r="AK170" s="99">
        <f t="shared" si="102"/>
        <v>0</v>
      </c>
      <c r="AL170" s="47">
        <v>0</v>
      </c>
      <c r="AM170" s="48">
        <v>0</v>
      </c>
      <c r="AN170" s="48">
        <v>0</v>
      </c>
      <c r="AO170" s="48">
        <v>0</v>
      </c>
      <c r="AP170" s="48">
        <v>0</v>
      </c>
      <c r="AQ170" s="48">
        <v>0</v>
      </c>
      <c r="AR170" s="49">
        <f t="shared" si="103"/>
        <v>0</v>
      </c>
      <c r="AS170" s="50">
        <v>0</v>
      </c>
      <c r="AT170" s="48">
        <v>0</v>
      </c>
      <c r="AU170" s="49">
        <f t="shared" si="104"/>
        <v>0</v>
      </c>
      <c r="AV170" s="50">
        <v>0</v>
      </c>
      <c r="AW170" s="48">
        <v>0</v>
      </c>
      <c r="AX170" s="48">
        <v>0</v>
      </c>
      <c r="AY170" s="48">
        <v>0</v>
      </c>
      <c r="AZ170" s="51">
        <v>0</v>
      </c>
      <c r="BA170" s="52"/>
      <c r="BB170" s="52"/>
      <c r="BC170" s="53" t="s">
        <v>1964</v>
      </c>
    </row>
    <row r="171" spans="1:55" ht="31.5" customHeight="1" x14ac:dyDescent="0.2">
      <c r="A171" s="871"/>
      <c r="B171" s="874"/>
      <c r="C171" s="877"/>
      <c r="D171" s="880"/>
      <c r="E171" s="883"/>
      <c r="F171" s="886"/>
      <c r="G171" s="889"/>
      <c r="H171" s="892"/>
      <c r="I171" s="896"/>
      <c r="J171" s="897"/>
      <c r="K171" s="907"/>
      <c r="L171" s="910"/>
      <c r="M171" s="170"/>
      <c r="N171" s="171"/>
      <c r="O171" s="172"/>
      <c r="P171" s="100"/>
      <c r="Q171" s="100"/>
      <c r="R171" s="913"/>
      <c r="S171" s="101"/>
      <c r="T171" s="916"/>
      <c r="U171" s="102"/>
      <c r="V171" s="916"/>
      <c r="W171" s="102"/>
      <c r="X171" s="916"/>
      <c r="Y171" s="102"/>
      <c r="Z171" s="916"/>
      <c r="AA171" s="102"/>
      <c r="AB171" s="916"/>
      <c r="AC171" s="102"/>
      <c r="AD171" s="916"/>
      <c r="AE171" s="102"/>
      <c r="AF171" s="901"/>
      <c r="AG171" s="103"/>
      <c r="AH171" s="901"/>
      <c r="AI171" s="102"/>
      <c r="AJ171" s="905"/>
      <c r="AK171" s="99">
        <f t="shared" si="102"/>
        <v>0</v>
      </c>
      <c r="AL171" s="104"/>
      <c r="AM171" s="105"/>
      <c r="AN171" s="105"/>
      <c r="AO171" s="105"/>
      <c r="AP171" s="105"/>
      <c r="AQ171" s="105"/>
      <c r="AR171" s="49">
        <f t="shared" ref="AR171" si="105">SUM(AL171:AQ171)</f>
        <v>0</v>
      </c>
      <c r="AS171" s="106"/>
      <c r="AT171" s="105"/>
      <c r="AU171" s="49">
        <f>SUM(AS171:AT171)</f>
        <v>0</v>
      </c>
      <c r="AV171" s="106"/>
      <c r="AW171" s="105"/>
      <c r="AX171" s="105"/>
      <c r="AY171" s="105"/>
      <c r="AZ171" s="107"/>
      <c r="BA171" s="108"/>
      <c r="BB171" s="108"/>
      <c r="BC171" s="109"/>
    </row>
    <row r="172" spans="1:55" ht="9.9499999999999993" customHeight="1" thickBot="1" x14ac:dyDescent="0.25">
      <c r="A172" s="872"/>
      <c r="B172" s="875"/>
      <c r="C172" s="878"/>
      <c r="D172" s="881"/>
      <c r="E172" s="884"/>
      <c r="F172" s="887"/>
      <c r="G172" s="890"/>
      <c r="H172" s="893"/>
      <c r="I172" s="898"/>
      <c r="J172" s="899"/>
      <c r="K172" s="908"/>
      <c r="L172" s="911"/>
      <c r="M172" s="173"/>
      <c r="N172" s="174"/>
      <c r="O172" s="175"/>
      <c r="P172" s="110"/>
      <c r="Q172" s="110"/>
      <c r="R172" s="914"/>
      <c r="S172" s="176"/>
      <c r="T172" s="917"/>
      <c r="U172" s="177"/>
      <c r="V172" s="917"/>
      <c r="W172" s="177"/>
      <c r="X172" s="917"/>
      <c r="Y172" s="177"/>
      <c r="Z172" s="917"/>
      <c r="AA172" s="177"/>
      <c r="AB172" s="917"/>
      <c r="AC172" s="177"/>
      <c r="AD172" s="917"/>
      <c r="AE172" s="177"/>
      <c r="AF172" s="902"/>
      <c r="AG172" s="178"/>
      <c r="AH172" s="902"/>
      <c r="AI172" s="177"/>
      <c r="AJ172" s="111"/>
      <c r="AK172" s="112"/>
      <c r="AL172" s="179"/>
      <c r="AM172" s="180"/>
      <c r="AN172" s="180"/>
      <c r="AO172" s="180"/>
      <c r="AP172" s="180"/>
      <c r="AQ172" s="180"/>
      <c r="AR172" s="113"/>
      <c r="AS172" s="181"/>
      <c r="AT172" s="180"/>
      <c r="AU172" s="113"/>
      <c r="AV172" s="181"/>
      <c r="AW172" s="180"/>
      <c r="AX172" s="180"/>
      <c r="AY172" s="180"/>
      <c r="AZ172" s="182"/>
      <c r="BA172" s="183"/>
      <c r="BB172" s="183"/>
      <c r="BC172" s="184"/>
    </row>
    <row r="173" spans="1:55" ht="6" customHeight="1" x14ac:dyDescent="0.2">
      <c r="A173" s="149"/>
      <c r="B173" s="185"/>
      <c r="C173" s="185"/>
      <c r="D173" s="185"/>
      <c r="E173" s="185"/>
      <c r="F173" s="185"/>
      <c r="G173" s="185"/>
      <c r="H173" s="185"/>
      <c r="I173" s="918"/>
      <c r="J173" s="918"/>
      <c r="K173" s="185"/>
      <c r="L173" s="185"/>
      <c r="M173" s="185"/>
      <c r="N173" s="185"/>
      <c r="O173" s="185"/>
      <c r="P173" s="185"/>
      <c r="Q173" s="185"/>
      <c r="R173" s="185"/>
      <c r="S173" s="185"/>
      <c r="T173" s="185"/>
      <c r="U173" s="185"/>
      <c r="V173" s="185"/>
      <c r="W173" s="185"/>
      <c r="X173" s="185"/>
      <c r="Y173" s="185"/>
      <c r="Z173" s="185"/>
      <c r="AA173" s="185"/>
      <c r="AB173" s="185"/>
      <c r="AC173" s="185"/>
      <c r="AD173" s="185"/>
      <c r="AE173" s="185"/>
      <c r="AF173" s="185"/>
      <c r="AG173" s="185"/>
      <c r="AH173" s="185"/>
      <c r="AI173" s="185"/>
      <c r="AJ173" s="185"/>
      <c r="AK173" s="186"/>
      <c r="AL173" s="186"/>
      <c r="AM173" s="186"/>
      <c r="AN173" s="186"/>
      <c r="AO173" s="186"/>
      <c r="AP173" s="186"/>
      <c r="AQ173" s="187"/>
      <c r="AR173" s="186"/>
      <c r="AS173" s="186"/>
      <c r="AT173" s="186"/>
      <c r="AU173" s="186"/>
      <c r="AV173" s="186"/>
      <c r="AW173" s="186"/>
      <c r="AX173" s="186"/>
      <c r="AY173" s="186"/>
      <c r="AZ173" s="186"/>
      <c r="BA173" s="186"/>
      <c r="BB173" s="186"/>
      <c r="BC173" s="149"/>
    </row>
    <row r="174" spans="1:55" ht="72" customHeight="1" x14ac:dyDescent="0.2">
      <c r="A174" s="870">
        <v>19</v>
      </c>
      <c r="B174" s="154" t="s">
        <v>1704</v>
      </c>
      <c r="C174" s="155" t="s">
        <v>1705</v>
      </c>
      <c r="D174" s="156" t="s">
        <v>21</v>
      </c>
      <c r="E174" s="156" t="s">
        <v>1890</v>
      </c>
      <c r="F174" s="155" t="s">
        <v>1706</v>
      </c>
      <c r="G174" s="157" t="s">
        <v>1679</v>
      </c>
      <c r="H174" s="157" t="s">
        <v>1680</v>
      </c>
      <c r="I174" s="158" t="s">
        <v>1906</v>
      </c>
      <c r="J174" s="159">
        <f>+$N$3</f>
        <v>2019</v>
      </c>
      <c r="K174" s="157" t="s">
        <v>1923</v>
      </c>
      <c r="L174" s="158" t="s">
        <v>1951</v>
      </c>
      <c r="M174" s="155" t="s">
        <v>1707</v>
      </c>
      <c r="N174" s="155" t="s">
        <v>1708</v>
      </c>
      <c r="O174" s="155" t="s">
        <v>1709</v>
      </c>
      <c r="P174" s="155" t="s">
        <v>1961</v>
      </c>
      <c r="Q174" s="155" t="s">
        <v>1952</v>
      </c>
      <c r="R174" s="160">
        <f>SUM(R175:R181)</f>
        <v>0</v>
      </c>
      <c r="S174" s="161">
        <f t="shared" ref="S174:AK174" si="106">SUM(S175:S181)</f>
        <v>0</v>
      </c>
      <c r="T174" s="162">
        <f t="shared" si="106"/>
        <v>0</v>
      </c>
      <c r="U174" s="163">
        <f t="shared" si="106"/>
        <v>0</v>
      </c>
      <c r="V174" s="162">
        <f t="shared" si="106"/>
        <v>0</v>
      </c>
      <c r="W174" s="163">
        <f t="shared" si="106"/>
        <v>0</v>
      </c>
      <c r="X174" s="162">
        <f t="shared" si="106"/>
        <v>0</v>
      </c>
      <c r="Y174" s="163">
        <f t="shared" si="106"/>
        <v>0</v>
      </c>
      <c r="Z174" s="162">
        <f t="shared" si="106"/>
        <v>0</v>
      </c>
      <c r="AA174" s="163">
        <f t="shared" si="106"/>
        <v>0</v>
      </c>
      <c r="AB174" s="162">
        <f t="shared" si="106"/>
        <v>0</v>
      </c>
      <c r="AC174" s="163">
        <f t="shared" si="106"/>
        <v>0</v>
      </c>
      <c r="AD174" s="162">
        <f t="shared" si="106"/>
        <v>0</v>
      </c>
      <c r="AE174" s="163">
        <f t="shared" si="106"/>
        <v>0</v>
      </c>
      <c r="AF174" s="162">
        <f t="shared" si="106"/>
        <v>0</v>
      </c>
      <c r="AG174" s="164">
        <f t="shared" si="106"/>
        <v>0</v>
      </c>
      <c r="AH174" s="162">
        <f t="shared" si="106"/>
        <v>0</v>
      </c>
      <c r="AI174" s="163">
        <f t="shared" si="106"/>
        <v>0</v>
      </c>
      <c r="AJ174" s="165">
        <f t="shared" si="106"/>
        <v>0</v>
      </c>
      <c r="AK174" s="166">
        <f t="shared" si="106"/>
        <v>0</v>
      </c>
      <c r="AL174" s="849"/>
      <c r="AM174" s="850"/>
      <c r="AN174" s="850"/>
      <c r="AO174" s="850"/>
      <c r="AP174" s="850"/>
      <c r="AQ174" s="850"/>
      <c r="AR174" s="851"/>
      <c r="AS174" s="852"/>
      <c r="AT174" s="850"/>
      <c r="AU174" s="851"/>
      <c r="AV174" s="852"/>
      <c r="AW174" s="850"/>
      <c r="AX174" s="850"/>
      <c r="AY174" s="850"/>
      <c r="AZ174" s="853"/>
      <c r="BA174" s="41" t="s">
        <v>1685</v>
      </c>
      <c r="BB174" s="41" t="s">
        <v>1954</v>
      </c>
      <c r="BC174" s="42" t="s">
        <v>1686</v>
      </c>
    </row>
    <row r="175" spans="1:55" ht="35.25" customHeight="1" x14ac:dyDescent="0.2">
      <c r="A175" s="871"/>
      <c r="B175" s="873" t="str">
        <f>VLOOKUP($D$9,'PROYECTOS REGISTRADOS'!$A$2:$D$82,4,0)</f>
        <v>Construcción y mantenimiento de infraestructura municipal Tocancipá, Cundinamarca, Centro Oriente</v>
      </c>
      <c r="C175" s="876" t="str">
        <f>VLOOKUP($D$9,'PROYECTOS REGISTRADOS'!$A$2:$D$82,3,0)</f>
        <v>2016-25817-0036</v>
      </c>
      <c r="D175" s="879" t="s">
        <v>1062</v>
      </c>
      <c r="E175" s="882" t="str">
        <f>IF(D175=0,"0-0",(VLOOKUP(D175,'CONSOLIDADO PLAN DESARROLLO'!$EL$9:$ET$304,2,0)))</f>
        <v>Constituir el mecanismo de gestión y financiación contemplados en el PDM  para la implementación de estudios, diseños, construcción, dotación y operación del Centro Multiferial y de Negocios</v>
      </c>
      <c r="F175" s="885" t="str">
        <f>IF(D175=0,"0-0",(VLOOKUP(D175,'CONSOLIDADO PLAN DESARROLLO'!$EL$9:$ET$304,3,0)))</f>
        <v>N° mecanismos adoptados</v>
      </c>
      <c r="G175" s="888">
        <f>IF(D175=0,"0-0",(VLOOKUP(D175,'CONSOLIDADO PLAN DESARROLLO'!$EL$9:$ET$304,4,0)))</f>
        <v>0</v>
      </c>
      <c r="H175" s="891">
        <f>IF(D175=0,"0-0",(VLOOKUP(D175,'CONSOLIDADO PLAN DESARROLLO'!$EL$9:$ET$304,5,0)))</f>
        <v>1</v>
      </c>
      <c r="I175" s="894">
        <f>IF(D175=0,"0-0",(VLOOKUP(D175,'CONSOLIDADO PLAN DESARROLLO'!$EL$9:$ET$304,$R$3,0)))</f>
        <v>0</v>
      </c>
      <c r="J175" s="895"/>
      <c r="K175" s="906">
        <v>0</v>
      </c>
      <c r="L175" s="909">
        <v>0</v>
      </c>
      <c r="M175" s="799" t="s">
        <v>1946</v>
      </c>
      <c r="N175" s="798" t="s">
        <v>1928</v>
      </c>
      <c r="O175" s="800">
        <v>1</v>
      </c>
      <c r="P175" s="43">
        <v>0</v>
      </c>
      <c r="Q175" s="43">
        <v>0</v>
      </c>
      <c r="R175" s="912">
        <f>VLOOKUP($D175,'[4]Tablero Logro Metas 2019'!$AK$7:$AS$302,3,0)</f>
        <v>0</v>
      </c>
      <c r="S175" s="44">
        <v>0</v>
      </c>
      <c r="T175" s="915">
        <f>VLOOKUP($D175,'[4]Tablero Logro Metas 2019'!$AK$7:$AS$302,4,0)</f>
        <v>0</v>
      </c>
      <c r="U175" s="44">
        <v>0</v>
      </c>
      <c r="V175" s="915">
        <f>VLOOKUP($D175,'[4]Tablero Logro Metas 2019'!$AK$7:$AS$302,5,0)</f>
        <v>0</v>
      </c>
      <c r="W175" s="44">
        <v>0</v>
      </c>
      <c r="X175" s="915">
        <f>VLOOKUP($D175,'[4]Tablero Logro Metas 2019'!$AK$7:$AS$302,6,0)</f>
        <v>0</v>
      </c>
      <c r="Y175" s="44">
        <v>0</v>
      </c>
      <c r="Z175" s="915">
        <f>VLOOKUP($D175,'[4]Tablero Logro Metas 2019'!$AK$7:$AS$302,7,0)</f>
        <v>0</v>
      </c>
      <c r="AA175" s="45">
        <v>0</v>
      </c>
      <c r="AB175" s="915">
        <f>VLOOKUP($D175,'[4]Tablero Logro Metas 2019'!$AK$7:$AS$302,8,0)</f>
        <v>0</v>
      </c>
      <c r="AC175" s="44">
        <v>0</v>
      </c>
      <c r="AD175" s="915">
        <f>VLOOKUP($D175,'[4]Tablero Logro Metas 2019'!$AK$7:$AS$302,9,0)</f>
        <v>0</v>
      </c>
      <c r="AE175" s="44">
        <v>0</v>
      </c>
      <c r="AF175" s="900"/>
      <c r="AG175" s="44">
        <v>0</v>
      </c>
      <c r="AH175" s="900"/>
      <c r="AI175" s="44">
        <v>0</v>
      </c>
      <c r="AJ175" s="903">
        <f>+R175+T175+V175+X175+Z175+AB175+AD175+AF175+AH175</f>
        <v>0</v>
      </c>
      <c r="AK175" s="99">
        <f t="shared" ref="AK175:AK180" si="107">AC175+AE175+AG175+S175+U175+W175+Y175+AA175+AI175</f>
        <v>0</v>
      </c>
      <c r="AL175" s="47">
        <v>0</v>
      </c>
      <c r="AM175" s="48">
        <v>0</v>
      </c>
      <c r="AN175" s="48">
        <v>0</v>
      </c>
      <c r="AO175" s="48">
        <v>0</v>
      </c>
      <c r="AP175" s="48">
        <v>0</v>
      </c>
      <c r="AQ175" s="48">
        <v>0</v>
      </c>
      <c r="AR175" s="49">
        <f t="shared" ref="AR175:AR179" si="108">SUM(AL175:AQ175)</f>
        <v>0</v>
      </c>
      <c r="AS175" s="50">
        <v>0</v>
      </c>
      <c r="AT175" s="48">
        <v>0</v>
      </c>
      <c r="AU175" s="49">
        <f t="shared" ref="AU175:AU179" si="109">SUM(AS175:AT175)</f>
        <v>0</v>
      </c>
      <c r="AV175" s="50">
        <v>0</v>
      </c>
      <c r="AW175" s="48">
        <v>0</v>
      </c>
      <c r="AX175" s="48">
        <v>0</v>
      </c>
      <c r="AY175" s="48">
        <v>0</v>
      </c>
      <c r="AZ175" s="51">
        <v>0</v>
      </c>
      <c r="BA175" s="52"/>
      <c r="BB175" s="52"/>
      <c r="BC175" s="53" t="s">
        <v>1964</v>
      </c>
    </row>
    <row r="176" spans="1:55" ht="31.5" customHeight="1" x14ac:dyDescent="0.2">
      <c r="A176" s="871"/>
      <c r="B176" s="873"/>
      <c r="C176" s="876"/>
      <c r="D176" s="879"/>
      <c r="E176" s="883"/>
      <c r="F176" s="885"/>
      <c r="G176" s="888"/>
      <c r="H176" s="891"/>
      <c r="I176" s="896"/>
      <c r="J176" s="897"/>
      <c r="K176" s="906"/>
      <c r="L176" s="910"/>
      <c r="M176" s="797" t="s">
        <v>1938</v>
      </c>
      <c r="N176" s="798" t="s">
        <v>1928</v>
      </c>
      <c r="O176" s="800">
        <v>1</v>
      </c>
      <c r="P176" s="43">
        <v>0</v>
      </c>
      <c r="Q176" s="43">
        <v>0</v>
      </c>
      <c r="R176" s="913"/>
      <c r="S176" s="44">
        <v>0</v>
      </c>
      <c r="T176" s="916"/>
      <c r="U176" s="44">
        <v>0</v>
      </c>
      <c r="V176" s="916"/>
      <c r="W176" s="44">
        <v>0</v>
      </c>
      <c r="X176" s="916"/>
      <c r="Y176" s="44">
        <v>0</v>
      </c>
      <c r="Z176" s="916"/>
      <c r="AA176" s="45">
        <v>0</v>
      </c>
      <c r="AB176" s="916"/>
      <c r="AC176" s="44">
        <v>0</v>
      </c>
      <c r="AD176" s="916"/>
      <c r="AE176" s="44">
        <v>0</v>
      </c>
      <c r="AF176" s="901"/>
      <c r="AG176" s="44">
        <v>0</v>
      </c>
      <c r="AH176" s="901"/>
      <c r="AI176" s="44">
        <v>0</v>
      </c>
      <c r="AJ176" s="904"/>
      <c r="AK176" s="99">
        <f t="shared" si="107"/>
        <v>0</v>
      </c>
      <c r="AL176" s="47">
        <v>0</v>
      </c>
      <c r="AM176" s="48">
        <v>0</v>
      </c>
      <c r="AN176" s="48">
        <v>0</v>
      </c>
      <c r="AO176" s="48">
        <v>0</v>
      </c>
      <c r="AP176" s="48">
        <v>0</v>
      </c>
      <c r="AQ176" s="48">
        <v>0</v>
      </c>
      <c r="AR176" s="49">
        <f t="shared" si="108"/>
        <v>0</v>
      </c>
      <c r="AS176" s="50">
        <v>0</v>
      </c>
      <c r="AT176" s="48">
        <v>0</v>
      </c>
      <c r="AU176" s="49">
        <f t="shared" si="109"/>
        <v>0</v>
      </c>
      <c r="AV176" s="50">
        <v>0</v>
      </c>
      <c r="AW176" s="48">
        <v>0</v>
      </c>
      <c r="AX176" s="48">
        <v>0</v>
      </c>
      <c r="AY176" s="48">
        <v>0</v>
      </c>
      <c r="AZ176" s="51">
        <v>0</v>
      </c>
      <c r="BA176" s="52"/>
      <c r="BB176" s="52"/>
      <c r="BC176" s="53" t="s">
        <v>1964</v>
      </c>
    </row>
    <row r="177" spans="1:55" ht="17.25" customHeight="1" x14ac:dyDescent="0.2">
      <c r="A177" s="871"/>
      <c r="B177" s="873"/>
      <c r="C177" s="876"/>
      <c r="D177" s="879"/>
      <c r="E177" s="883"/>
      <c r="F177" s="885"/>
      <c r="G177" s="888"/>
      <c r="H177" s="891"/>
      <c r="I177" s="896"/>
      <c r="J177" s="897"/>
      <c r="K177" s="906"/>
      <c r="L177" s="910"/>
      <c r="M177" s="797" t="s">
        <v>1932</v>
      </c>
      <c r="N177" s="798" t="s">
        <v>1928</v>
      </c>
      <c r="O177" s="800">
        <v>1</v>
      </c>
      <c r="P177" s="43">
        <v>0</v>
      </c>
      <c r="Q177" s="43">
        <v>0</v>
      </c>
      <c r="R177" s="913"/>
      <c r="S177" s="44">
        <v>0</v>
      </c>
      <c r="T177" s="916"/>
      <c r="U177" s="44">
        <v>0</v>
      </c>
      <c r="V177" s="916"/>
      <c r="W177" s="44">
        <v>0</v>
      </c>
      <c r="X177" s="916"/>
      <c r="Y177" s="44">
        <v>0</v>
      </c>
      <c r="Z177" s="916"/>
      <c r="AA177" s="45">
        <v>0</v>
      </c>
      <c r="AB177" s="916"/>
      <c r="AC177" s="44">
        <v>0</v>
      </c>
      <c r="AD177" s="916"/>
      <c r="AE177" s="44">
        <v>0</v>
      </c>
      <c r="AF177" s="901"/>
      <c r="AG177" s="44">
        <v>0</v>
      </c>
      <c r="AH177" s="901"/>
      <c r="AI177" s="44">
        <v>0</v>
      </c>
      <c r="AJ177" s="904"/>
      <c r="AK177" s="99">
        <f t="shared" si="107"/>
        <v>0</v>
      </c>
      <c r="AL177" s="47">
        <v>0</v>
      </c>
      <c r="AM177" s="48">
        <v>0</v>
      </c>
      <c r="AN177" s="48">
        <v>0</v>
      </c>
      <c r="AO177" s="48">
        <v>0</v>
      </c>
      <c r="AP177" s="48">
        <v>0</v>
      </c>
      <c r="AQ177" s="48">
        <v>0</v>
      </c>
      <c r="AR177" s="49">
        <f t="shared" si="108"/>
        <v>0</v>
      </c>
      <c r="AS177" s="50">
        <v>0</v>
      </c>
      <c r="AT177" s="48">
        <v>0</v>
      </c>
      <c r="AU177" s="49">
        <f t="shared" si="109"/>
        <v>0</v>
      </c>
      <c r="AV177" s="50">
        <v>0</v>
      </c>
      <c r="AW177" s="48">
        <v>0</v>
      </c>
      <c r="AX177" s="48">
        <v>0</v>
      </c>
      <c r="AY177" s="48">
        <v>0</v>
      </c>
      <c r="AZ177" s="51">
        <v>0</v>
      </c>
      <c r="BA177" s="52"/>
      <c r="BB177" s="52"/>
      <c r="BC177" s="53" t="s">
        <v>1964</v>
      </c>
    </row>
    <row r="178" spans="1:55" ht="17.25" customHeight="1" x14ac:dyDescent="0.2">
      <c r="A178" s="871"/>
      <c r="B178" s="873"/>
      <c r="C178" s="876"/>
      <c r="D178" s="879"/>
      <c r="E178" s="883"/>
      <c r="F178" s="885"/>
      <c r="G178" s="888"/>
      <c r="H178" s="891"/>
      <c r="I178" s="896"/>
      <c r="J178" s="897"/>
      <c r="K178" s="906"/>
      <c r="L178" s="910"/>
      <c r="M178" s="797" t="s">
        <v>1944</v>
      </c>
      <c r="N178" s="798" t="s">
        <v>1928</v>
      </c>
      <c r="O178" s="800">
        <v>1</v>
      </c>
      <c r="P178" s="43">
        <v>0</v>
      </c>
      <c r="Q178" s="43">
        <v>0</v>
      </c>
      <c r="R178" s="913"/>
      <c r="S178" s="44">
        <v>0</v>
      </c>
      <c r="T178" s="916"/>
      <c r="U178" s="44">
        <v>0</v>
      </c>
      <c r="V178" s="916"/>
      <c r="W178" s="44">
        <v>0</v>
      </c>
      <c r="X178" s="916"/>
      <c r="Y178" s="44">
        <v>0</v>
      </c>
      <c r="Z178" s="916"/>
      <c r="AA178" s="45">
        <v>0</v>
      </c>
      <c r="AB178" s="916"/>
      <c r="AC178" s="44">
        <v>0</v>
      </c>
      <c r="AD178" s="916"/>
      <c r="AE178" s="44">
        <v>0</v>
      </c>
      <c r="AF178" s="901"/>
      <c r="AG178" s="44">
        <v>0</v>
      </c>
      <c r="AH178" s="901"/>
      <c r="AI178" s="44">
        <v>0</v>
      </c>
      <c r="AJ178" s="904"/>
      <c r="AK178" s="99">
        <f t="shared" si="107"/>
        <v>0</v>
      </c>
      <c r="AL178" s="47">
        <v>0</v>
      </c>
      <c r="AM178" s="48">
        <v>0</v>
      </c>
      <c r="AN178" s="48">
        <v>0</v>
      </c>
      <c r="AO178" s="48">
        <v>0</v>
      </c>
      <c r="AP178" s="48">
        <v>0</v>
      </c>
      <c r="AQ178" s="48">
        <v>0</v>
      </c>
      <c r="AR178" s="49">
        <f t="shared" si="108"/>
        <v>0</v>
      </c>
      <c r="AS178" s="50">
        <v>0</v>
      </c>
      <c r="AT178" s="48">
        <v>0</v>
      </c>
      <c r="AU178" s="49">
        <f t="shared" si="109"/>
        <v>0</v>
      </c>
      <c r="AV178" s="50">
        <v>0</v>
      </c>
      <c r="AW178" s="48">
        <v>0</v>
      </c>
      <c r="AX178" s="48">
        <v>0</v>
      </c>
      <c r="AY178" s="48">
        <v>0</v>
      </c>
      <c r="AZ178" s="51">
        <v>0</v>
      </c>
      <c r="BA178" s="52"/>
      <c r="BB178" s="52"/>
      <c r="BC178" s="53" t="s">
        <v>1964</v>
      </c>
    </row>
    <row r="179" spans="1:55" ht="17.25" customHeight="1" x14ac:dyDescent="0.2">
      <c r="A179" s="871"/>
      <c r="B179" s="873"/>
      <c r="C179" s="876"/>
      <c r="D179" s="879"/>
      <c r="E179" s="883"/>
      <c r="F179" s="885"/>
      <c r="G179" s="888"/>
      <c r="H179" s="891"/>
      <c r="I179" s="896"/>
      <c r="J179" s="897"/>
      <c r="K179" s="906"/>
      <c r="L179" s="910"/>
      <c r="M179" s="797" t="s">
        <v>1945</v>
      </c>
      <c r="N179" s="798" t="s">
        <v>1928</v>
      </c>
      <c r="O179" s="800">
        <v>1</v>
      </c>
      <c r="P179" s="43">
        <v>0</v>
      </c>
      <c r="Q179" s="43">
        <v>0</v>
      </c>
      <c r="R179" s="913"/>
      <c r="S179" s="44">
        <v>0</v>
      </c>
      <c r="T179" s="916"/>
      <c r="U179" s="44">
        <v>0</v>
      </c>
      <c r="V179" s="916"/>
      <c r="W179" s="44">
        <v>0</v>
      </c>
      <c r="X179" s="916"/>
      <c r="Y179" s="44">
        <v>0</v>
      </c>
      <c r="Z179" s="916"/>
      <c r="AA179" s="45">
        <v>0</v>
      </c>
      <c r="AB179" s="916"/>
      <c r="AC179" s="44">
        <v>0</v>
      </c>
      <c r="AD179" s="916"/>
      <c r="AE179" s="44">
        <v>0</v>
      </c>
      <c r="AF179" s="901"/>
      <c r="AG179" s="44">
        <v>0</v>
      </c>
      <c r="AH179" s="901"/>
      <c r="AI179" s="44">
        <v>0</v>
      </c>
      <c r="AJ179" s="904"/>
      <c r="AK179" s="99">
        <f t="shared" si="107"/>
        <v>0</v>
      </c>
      <c r="AL179" s="47">
        <v>0</v>
      </c>
      <c r="AM179" s="48">
        <v>0</v>
      </c>
      <c r="AN179" s="48">
        <v>0</v>
      </c>
      <c r="AO179" s="48">
        <v>0</v>
      </c>
      <c r="AP179" s="48">
        <v>0</v>
      </c>
      <c r="AQ179" s="48">
        <v>0</v>
      </c>
      <c r="AR179" s="49">
        <f t="shared" si="108"/>
        <v>0</v>
      </c>
      <c r="AS179" s="50">
        <v>0</v>
      </c>
      <c r="AT179" s="48">
        <v>0</v>
      </c>
      <c r="AU179" s="49">
        <f t="shared" si="109"/>
        <v>0</v>
      </c>
      <c r="AV179" s="50">
        <v>0</v>
      </c>
      <c r="AW179" s="48">
        <v>0</v>
      </c>
      <c r="AX179" s="48">
        <v>0</v>
      </c>
      <c r="AY179" s="48">
        <v>0</v>
      </c>
      <c r="AZ179" s="51">
        <v>0</v>
      </c>
      <c r="BA179" s="52"/>
      <c r="BB179" s="52"/>
      <c r="BC179" s="53" t="s">
        <v>1964</v>
      </c>
    </row>
    <row r="180" spans="1:55" ht="17.25" customHeight="1" x14ac:dyDescent="0.2">
      <c r="A180" s="871"/>
      <c r="B180" s="874"/>
      <c r="C180" s="877"/>
      <c r="D180" s="880"/>
      <c r="E180" s="883"/>
      <c r="F180" s="886"/>
      <c r="G180" s="889"/>
      <c r="H180" s="892"/>
      <c r="I180" s="896"/>
      <c r="J180" s="897"/>
      <c r="K180" s="907"/>
      <c r="L180" s="910"/>
      <c r="M180" s="170"/>
      <c r="N180" s="171"/>
      <c r="O180" s="172"/>
      <c r="P180" s="100"/>
      <c r="Q180" s="100"/>
      <c r="R180" s="913"/>
      <c r="S180" s="101"/>
      <c r="T180" s="916"/>
      <c r="U180" s="102"/>
      <c r="V180" s="916"/>
      <c r="W180" s="102"/>
      <c r="X180" s="916"/>
      <c r="Y180" s="102"/>
      <c r="Z180" s="916"/>
      <c r="AA180" s="102"/>
      <c r="AB180" s="916"/>
      <c r="AC180" s="102"/>
      <c r="AD180" s="916"/>
      <c r="AE180" s="102"/>
      <c r="AF180" s="901"/>
      <c r="AG180" s="103"/>
      <c r="AH180" s="901"/>
      <c r="AI180" s="102"/>
      <c r="AJ180" s="905"/>
      <c r="AK180" s="99">
        <f t="shared" si="107"/>
        <v>0</v>
      </c>
      <c r="AL180" s="104"/>
      <c r="AM180" s="105"/>
      <c r="AN180" s="105"/>
      <c r="AO180" s="105"/>
      <c r="AP180" s="105"/>
      <c r="AQ180" s="105"/>
      <c r="AR180" s="49">
        <f t="shared" ref="AR180" si="110">SUM(AL180:AQ180)</f>
        <v>0</v>
      </c>
      <c r="AS180" s="106"/>
      <c r="AT180" s="105"/>
      <c r="AU180" s="49">
        <f>SUM(AS180:AT180)</f>
        <v>0</v>
      </c>
      <c r="AV180" s="106"/>
      <c r="AW180" s="105"/>
      <c r="AX180" s="105"/>
      <c r="AY180" s="105"/>
      <c r="AZ180" s="107"/>
      <c r="BA180" s="108"/>
      <c r="BB180" s="108"/>
      <c r="BC180" s="109"/>
    </row>
    <row r="181" spans="1:55" ht="9.9499999999999993" customHeight="1" thickBot="1" x14ac:dyDescent="0.25">
      <c r="A181" s="872"/>
      <c r="B181" s="875"/>
      <c r="C181" s="878"/>
      <c r="D181" s="881"/>
      <c r="E181" s="884"/>
      <c r="F181" s="887"/>
      <c r="G181" s="890"/>
      <c r="H181" s="893"/>
      <c r="I181" s="898"/>
      <c r="J181" s="899"/>
      <c r="K181" s="908"/>
      <c r="L181" s="911"/>
      <c r="M181" s="173"/>
      <c r="N181" s="174"/>
      <c r="O181" s="175"/>
      <c r="P181" s="110"/>
      <c r="Q181" s="110"/>
      <c r="R181" s="914"/>
      <c r="S181" s="176"/>
      <c r="T181" s="917"/>
      <c r="U181" s="177"/>
      <c r="V181" s="917"/>
      <c r="W181" s="177"/>
      <c r="X181" s="917"/>
      <c r="Y181" s="177"/>
      <c r="Z181" s="917"/>
      <c r="AA181" s="177"/>
      <c r="AB181" s="917"/>
      <c r="AC181" s="177"/>
      <c r="AD181" s="917"/>
      <c r="AE181" s="177"/>
      <c r="AF181" s="902"/>
      <c r="AG181" s="178"/>
      <c r="AH181" s="902"/>
      <c r="AI181" s="177"/>
      <c r="AJ181" s="111"/>
      <c r="AK181" s="112"/>
      <c r="AL181" s="179"/>
      <c r="AM181" s="180"/>
      <c r="AN181" s="180"/>
      <c r="AO181" s="180"/>
      <c r="AP181" s="180"/>
      <c r="AQ181" s="180"/>
      <c r="AR181" s="113"/>
      <c r="AS181" s="181"/>
      <c r="AT181" s="180"/>
      <c r="AU181" s="113"/>
      <c r="AV181" s="181"/>
      <c r="AW181" s="180"/>
      <c r="AX181" s="180"/>
      <c r="AY181" s="180"/>
      <c r="AZ181" s="182"/>
      <c r="BA181" s="183"/>
      <c r="BB181" s="183"/>
      <c r="BC181" s="184"/>
    </row>
    <row r="182" spans="1:55" ht="6" customHeight="1" x14ac:dyDescent="0.2">
      <c r="A182" s="149"/>
      <c r="B182" s="185"/>
      <c r="C182" s="185"/>
      <c r="D182" s="185"/>
      <c r="E182" s="185"/>
      <c r="F182" s="185"/>
      <c r="G182" s="185"/>
      <c r="H182" s="185"/>
      <c r="I182" s="918"/>
      <c r="J182" s="918"/>
      <c r="K182" s="185"/>
      <c r="L182" s="185"/>
      <c r="M182" s="185"/>
      <c r="N182" s="185"/>
      <c r="O182" s="185"/>
      <c r="P182" s="185"/>
      <c r="Q182" s="185"/>
      <c r="R182" s="185"/>
      <c r="S182" s="185"/>
      <c r="T182" s="185"/>
      <c r="U182" s="185"/>
      <c r="V182" s="185"/>
      <c r="W182" s="185"/>
      <c r="X182" s="185"/>
      <c r="Y182" s="185"/>
      <c r="Z182" s="185"/>
      <c r="AA182" s="185"/>
      <c r="AB182" s="185"/>
      <c r="AC182" s="185"/>
      <c r="AD182" s="185"/>
      <c r="AE182" s="185"/>
      <c r="AF182" s="185"/>
      <c r="AG182" s="185"/>
      <c r="AH182" s="185"/>
      <c r="AI182" s="185"/>
      <c r="AJ182" s="185"/>
      <c r="AK182" s="186"/>
      <c r="AL182" s="186"/>
      <c r="AM182" s="186"/>
      <c r="AN182" s="186"/>
      <c r="AO182" s="186"/>
      <c r="AP182" s="186"/>
      <c r="AQ182" s="187"/>
      <c r="AR182" s="186"/>
      <c r="AS182" s="186"/>
      <c r="AT182" s="186"/>
      <c r="AU182" s="186"/>
      <c r="AV182" s="186"/>
      <c r="AW182" s="186"/>
      <c r="AX182" s="186"/>
      <c r="AY182" s="186"/>
      <c r="AZ182" s="186"/>
      <c r="BA182" s="186"/>
      <c r="BB182" s="186"/>
      <c r="BC182" s="149"/>
    </row>
    <row r="183" spans="1:55" ht="72" customHeight="1" x14ac:dyDescent="0.2">
      <c r="A183" s="870">
        <v>20</v>
      </c>
      <c r="B183" s="154" t="s">
        <v>1704</v>
      </c>
      <c r="C183" s="155" t="s">
        <v>1705</v>
      </c>
      <c r="D183" s="156" t="s">
        <v>21</v>
      </c>
      <c r="E183" s="156" t="s">
        <v>1890</v>
      </c>
      <c r="F183" s="155" t="s">
        <v>1706</v>
      </c>
      <c r="G183" s="157" t="s">
        <v>1679</v>
      </c>
      <c r="H183" s="157" t="s">
        <v>1680</v>
      </c>
      <c r="I183" s="158" t="s">
        <v>1906</v>
      </c>
      <c r="J183" s="159">
        <f>+$N$3</f>
        <v>2019</v>
      </c>
      <c r="K183" s="157" t="s">
        <v>1923</v>
      </c>
      <c r="L183" s="158" t="s">
        <v>1951</v>
      </c>
      <c r="M183" s="155" t="s">
        <v>1707</v>
      </c>
      <c r="N183" s="155" t="s">
        <v>1708</v>
      </c>
      <c r="O183" s="155" t="s">
        <v>1709</v>
      </c>
      <c r="P183" s="155" t="s">
        <v>1961</v>
      </c>
      <c r="Q183" s="155" t="s">
        <v>1952</v>
      </c>
      <c r="R183" s="160">
        <f>SUM(R184:R190)</f>
        <v>0</v>
      </c>
      <c r="S183" s="161">
        <f t="shared" ref="S183:AK183" si="111">SUM(S184:S190)</f>
        <v>0</v>
      </c>
      <c r="T183" s="162">
        <f t="shared" si="111"/>
        <v>0</v>
      </c>
      <c r="U183" s="163">
        <f t="shared" si="111"/>
        <v>0</v>
      </c>
      <c r="V183" s="162">
        <f t="shared" si="111"/>
        <v>0</v>
      </c>
      <c r="W183" s="163">
        <f t="shared" si="111"/>
        <v>0</v>
      </c>
      <c r="X183" s="162">
        <f t="shared" si="111"/>
        <v>0</v>
      </c>
      <c r="Y183" s="163">
        <f t="shared" si="111"/>
        <v>0</v>
      </c>
      <c r="Z183" s="162">
        <f t="shared" si="111"/>
        <v>0</v>
      </c>
      <c r="AA183" s="163">
        <f t="shared" si="111"/>
        <v>0</v>
      </c>
      <c r="AB183" s="162">
        <f t="shared" si="111"/>
        <v>0</v>
      </c>
      <c r="AC183" s="163">
        <f t="shared" si="111"/>
        <v>0</v>
      </c>
      <c r="AD183" s="162">
        <f t="shared" si="111"/>
        <v>0</v>
      </c>
      <c r="AE183" s="163">
        <f t="shared" si="111"/>
        <v>0</v>
      </c>
      <c r="AF183" s="162">
        <f t="shared" si="111"/>
        <v>0</v>
      </c>
      <c r="AG183" s="164">
        <f t="shared" si="111"/>
        <v>0</v>
      </c>
      <c r="AH183" s="162">
        <f t="shared" si="111"/>
        <v>0</v>
      </c>
      <c r="AI183" s="163">
        <f t="shared" si="111"/>
        <v>0</v>
      </c>
      <c r="AJ183" s="165">
        <f t="shared" si="111"/>
        <v>0</v>
      </c>
      <c r="AK183" s="166">
        <f t="shared" si="111"/>
        <v>0</v>
      </c>
      <c r="AL183" s="849"/>
      <c r="AM183" s="850"/>
      <c r="AN183" s="850"/>
      <c r="AO183" s="850"/>
      <c r="AP183" s="850"/>
      <c r="AQ183" s="850"/>
      <c r="AR183" s="851"/>
      <c r="AS183" s="852"/>
      <c r="AT183" s="850"/>
      <c r="AU183" s="851"/>
      <c r="AV183" s="852"/>
      <c r="AW183" s="850"/>
      <c r="AX183" s="850"/>
      <c r="AY183" s="850"/>
      <c r="AZ183" s="853"/>
      <c r="BA183" s="41" t="s">
        <v>1685</v>
      </c>
      <c r="BB183" s="41" t="s">
        <v>1954</v>
      </c>
      <c r="BC183" s="42" t="s">
        <v>1686</v>
      </c>
    </row>
    <row r="184" spans="1:55" ht="22.5" customHeight="1" x14ac:dyDescent="0.2">
      <c r="A184" s="871"/>
      <c r="B184" s="873" t="str">
        <f>VLOOKUP($D$9,'PROYECTOS REGISTRADOS'!$A$2:$D$82,4,0)</f>
        <v>Construcción y mantenimiento de infraestructura municipal Tocancipá, Cundinamarca, Centro Oriente</v>
      </c>
      <c r="C184" s="876" t="str">
        <f>VLOOKUP($D$9,'PROYECTOS REGISTRADOS'!$A$2:$D$82,3,0)</f>
        <v>2016-25817-0036</v>
      </c>
      <c r="D184" s="879" t="s">
        <v>1066</v>
      </c>
      <c r="E184" s="882" t="str">
        <f>IF(D184=0,"0-0",(VLOOKUP(D184,'CONSOLIDADO PLAN DESARROLLO'!$EL$9:$ET$304,2,0)))</f>
        <v>Constituir el mecanismo de gestión y financiación contemplados en el PDM para la construcción del metro cable zona alta del municipio</v>
      </c>
      <c r="F184" s="885" t="str">
        <f>IF(D184=0,"0-0",(VLOOKUP(D184,'CONSOLIDADO PLAN DESARROLLO'!$EL$9:$ET$304,3,0)))</f>
        <v>N° mecanismos adoptados</v>
      </c>
      <c r="G184" s="888">
        <f>IF(D184=0,"0-0",(VLOOKUP(D184,'CONSOLIDADO PLAN DESARROLLO'!$EL$9:$ET$304,4,0)))</f>
        <v>0</v>
      </c>
      <c r="H184" s="891">
        <f>IF(D184=0,"0-0",(VLOOKUP(D184,'CONSOLIDADO PLAN DESARROLLO'!$EL$9:$ET$304,5,0)))</f>
        <v>1</v>
      </c>
      <c r="I184" s="894">
        <f>IF(D184=0,"0-0",(VLOOKUP(D184,'CONSOLIDADO PLAN DESARROLLO'!$EL$9:$ET$304,$R$3,0)))</f>
        <v>0.55000000000000004</v>
      </c>
      <c r="J184" s="895"/>
      <c r="K184" s="906">
        <v>0</v>
      </c>
      <c r="L184" s="909">
        <v>0</v>
      </c>
      <c r="M184" s="799" t="s">
        <v>1946</v>
      </c>
      <c r="N184" s="798" t="s">
        <v>1928</v>
      </c>
      <c r="O184" s="800">
        <v>1</v>
      </c>
      <c r="P184" s="43">
        <v>0</v>
      </c>
      <c r="Q184" s="43">
        <v>0</v>
      </c>
      <c r="R184" s="912">
        <f>VLOOKUP($D184,'[4]Tablero Logro Metas 2019'!$AK$7:$AS$302,3,0)</f>
        <v>0</v>
      </c>
      <c r="S184" s="44">
        <v>0</v>
      </c>
      <c r="T184" s="915">
        <f>VLOOKUP($D184,'[4]Tablero Logro Metas 2019'!$AK$7:$AS$302,4,0)</f>
        <v>0</v>
      </c>
      <c r="U184" s="44">
        <v>0</v>
      </c>
      <c r="V184" s="915">
        <f>VLOOKUP($D184,'[4]Tablero Logro Metas 2019'!$AK$7:$AS$302,5,0)</f>
        <v>0</v>
      </c>
      <c r="W184" s="44">
        <v>0</v>
      </c>
      <c r="X184" s="915">
        <f>VLOOKUP($D184,'[4]Tablero Logro Metas 2019'!$AK$7:$AS$302,6,0)</f>
        <v>0</v>
      </c>
      <c r="Y184" s="44">
        <v>0</v>
      </c>
      <c r="Z184" s="915">
        <f>VLOOKUP($D184,'[4]Tablero Logro Metas 2019'!$AK$7:$AS$302,7,0)</f>
        <v>0</v>
      </c>
      <c r="AA184" s="44">
        <v>0</v>
      </c>
      <c r="AB184" s="915">
        <f>VLOOKUP($D184,'[4]Tablero Logro Metas 2019'!$AK$7:$AS$302,8,0)</f>
        <v>0</v>
      </c>
      <c r="AC184" s="44">
        <v>0</v>
      </c>
      <c r="AD184" s="915">
        <f>VLOOKUP($D184,'[4]Tablero Logro Metas 2019'!$AK$7:$AS$302,9,0)</f>
        <v>0</v>
      </c>
      <c r="AE184" s="44">
        <v>0</v>
      </c>
      <c r="AF184" s="900"/>
      <c r="AG184" s="44">
        <v>0</v>
      </c>
      <c r="AH184" s="900"/>
      <c r="AI184" s="44">
        <v>0</v>
      </c>
      <c r="AJ184" s="903">
        <f>+R184+T184+V184+X184+Z184+AB184+AD184+AF184+AH184</f>
        <v>0</v>
      </c>
      <c r="AK184" s="99">
        <f t="shared" ref="AK184:AK189" si="112">AC184+AE184+AG184+S184+U184+W184+Y184+AA184+AI184</f>
        <v>0</v>
      </c>
      <c r="AL184" s="47">
        <v>0</v>
      </c>
      <c r="AM184" s="48">
        <v>0</v>
      </c>
      <c r="AN184" s="48">
        <v>0</v>
      </c>
      <c r="AO184" s="48">
        <v>0</v>
      </c>
      <c r="AP184" s="48">
        <v>0</v>
      </c>
      <c r="AQ184" s="48">
        <v>0</v>
      </c>
      <c r="AR184" s="49">
        <f t="shared" ref="AR184:AR188" si="113">SUM(AL184:AQ184)</f>
        <v>0</v>
      </c>
      <c r="AS184" s="50">
        <v>0</v>
      </c>
      <c r="AT184" s="48">
        <v>0</v>
      </c>
      <c r="AU184" s="49">
        <f t="shared" ref="AU184:AU188" si="114">SUM(AS184:AT184)</f>
        <v>0</v>
      </c>
      <c r="AV184" s="50">
        <v>0</v>
      </c>
      <c r="AW184" s="48">
        <v>0</v>
      </c>
      <c r="AX184" s="48">
        <v>0</v>
      </c>
      <c r="AY184" s="48">
        <v>0</v>
      </c>
      <c r="AZ184" s="51">
        <v>0</v>
      </c>
      <c r="BA184" s="52"/>
      <c r="BB184" s="52"/>
      <c r="BC184" s="53" t="s">
        <v>1964</v>
      </c>
    </row>
    <row r="185" spans="1:55" ht="17.25" customHeight="1" x14ac:dyDescent="0.2">
      <c r="A185" s="871"/>
      <c r="B185" s="873"/>
      <c r="C185" s="876"/>
      <c r="D185" s="879"/>
      <c r="E185" s="883"/>
      <c r="F185" s="885"/>
      <c r="G185" s="888"/>
      <c r="H185" s="891"/>
      <c r="I185" s="896"/>
      <c r="J185" s="897"/>
      <c r="K185" s="906"/>
      <c r="L185" s="910"/>
      <c r="M185" s="797" t="s">
        <v>1938</v>
      </c>
      <c r="N185" s="798" t="s">
        <v>1928</v>
      </c>
      <c r="O185" s="800">
        <v>1</v>
      </c>
      <c r="P185" s="43">
        <v>0</v>
      </c>
      <c r="Q185" s="43">
        <v>0</v>
      </c>
      <c r="R185" s="913"/>
      <c r="S185" s="44">
        <v>0</v>
      </c>
      <c r="T185" s="916"/>
      <c r="U185" s="44">
        <v>0</v>
      </c>
      <c r="V185" s="916"/>
      <c r="W185" s="44">
        <v>0</v>
      </c>
      <c r="X185" s="916"/>
      <c r="Y185" s="44">
        <v>0</v>
      </c>
      <c r="Z185" s="916"/>
      <c r="AA185" s="44">
        <v>0</v>
      </c>
      <c r="AB185" s="916"/>
      <c r="AC185" s="44">
        <v>0</v>
      </c>
      <c r="AD185" s="916"/>
      <c r="AE185" s="44">
        <v>0</v>
      </c>
      <c r="AF185" s="901"/>
      <c r="AG185" s="44">
        <v>0</v>
      </c>
      <c r="AH185" s="901"/>
      <c r="AI185" s="44">
        <v>0</v>
      </c>
      <c r="AJ185" s="904"/>
      <c r="AK185" s="99">
        <f t="shared" si="112"/>
        <v>0</v>
      </c>
      <c r="AL185" s="47">
        <v>0</v>
      </c>
      <c r="AM185" s="48">
        <v>0</v>
      </c>
      <c r="AN185" s="48">
        <v>0</v>
      </c>
      <c r="AO185" s="48">
        <v>0</v>
      </c>
      <c r="AP185" s="48">
        <v>0</v>
      </c>
      <c r="AQ185" s="48">
        <v>0</v>
      </c>
      <c r="AR185" s="49">
        <f t="shared" si="113"/>
        <v>0</v>
      </c>
      <c r="AS185" s="50">
        <v>0</v>
      </c>
      <c r="AT185" s="48">
        <v>0</v>
      </c>
      <c r="AU185" s="49">
        <f t="shared" si="114"/>
        <v>0</v>
      </c>
      <c r="AV185" s="50">
        <v>0</v>
      </c>
      <c r="AW185" s="48">
        <v>0</v>
      </c>
      <c r="AX185" s="48">
        <v>0</v>
      </c>
      <c r="AY185" s="48">
        <v>0</v>
      </c>
      <c r="AZ185" s="51">
        <v>0</v>
      </c>
      <c r="BA185" s="52"/>
      <c r="BB185" s="52"/>
      <c r="BC185" s="53" t="s">
        <v>1964</v>
      </c>
    </row>
    <row r="186" spans="1:55" ht="17.25" customHeight="1" x14ac:dyDescent="0.2">
      <c r="A186" s="871"/>
      <c r="B186" s="873"/>
      <c r="C186" s="876"/>
      <c r="D186" s="879"/>
      <c r="E186" s="883"/>
      <c r="F186" s="885"/>
      <c r="G186" s="888"/>
      <c r="H186" s="891"/>
      <c r="I186" s="896"/>
      <c r="J186" s="897"/>
      <c r="K186" s="906"/>
      <c r="L186" s="910"/>
      <c r="M186" s="797" t="s">
        <v>1932</v>
      </c>
      <c r="N186" s="798" t="s">
        <v>1928</v>
      </c>
      <c r="O186" s="800">
        <v>1</v>
      </c>
      <c r="P186" s="43">
        <v>0</v>
      </c>
      <c r="Q186" s="43">
        <v>0</v>
      </c>
      <c r="R186" s="913"/>
      <c r="S186" s="44">
        <v>0</v>
      </c>
      <c r="T186" s="916"/>
      <c r="U186" s="44">
        <v>0</v>
      </c>
      <c r="V186" s="916"/>
      <c r="W186" s="44">
        <v>0</v>
      </c>
      <c r="X186" s="916"/>
      <c r="Y186" s="44">
        <v>0</v>
      </c>
      <c r="Z186" s="916"/>
      <c r="AA186" s="44">
        <v>0</v>
      </c>
      <c r="AB186" s="916"/>
      <c r="AC186" s="44">
        <v>0</v>
      </c>
      <c r="AD186" s="916"/>
      <c r="AE186" s="44">
        <v>0</v>
      </c>
      <c r="AF186" s="901"/>
      <c r="AG186" s="44">
        <v>0</v>
      </c>
      <c r="AH186" s="901"/>
      <c r="AI186" s="44">
        <v>0</v>
      </c>
      <c r="AJ186" s="904"/>
      <c r="AK186" s="99">
        <f t="shared" si="112"/>
        <v>0</v>
      </c>
      <c r="AL186" s="47">
        <v>0</v>
      </c>
      <c r="AM186" s="48">
        <v>0</v>
      </c>
      <c r="AN186" s="48">
        <v>0</v>
      </c>
      <c r="AO186" s="48">
        <v>0</v>
      </c>
      <c r="AP186" s="48">
        <v>0</v>
      </c>
      <c r="AQ186" s="48">
        <v>0</v>
      </c>
      <c r="AR186" s="49">
        <f t="shared" si="113"/>
        <v>0</v>
      </c>
      <c r="AS186" s="50">
        <v>0</v>
      </c>
      <c r="AT186" s="48">
        <v>0</v>
      </c>
      <c r="AU186" s="49">
        <f t="shared" si="114"/>
        <v>0</v>
      </c>
      <c r="AV186" s="50">
        <v>0</v>
      </c>
      <c r="AW186" s="48">
        <v>0</v>
      </c>
      <c r="AX186" s="48">
        <v>0</v>
      </c>
      <c r="AY186" s="48">
        <v>0</v>
      </c>
      <c r="AZ186" s="51">
        <v>0</v>
      </c>
      <c r="BA186" s="52"/>
      <c r="BB186" s="52"/>
      <c r="BC186" s="53" t="s">
        <v>1964</v>
      </c>
    </row>
    <row r="187" spans="1:55" ht="17.25" customHeight="1" x14ac:dyDescent="0.2">
      <c r="A187" s="871"/>
      <c r="B187" s="873"/>
      <c r="C187" s="876"/>
      <c r="D187" s="879"/>
      <c r="E187" s="883"/>
      <c r="F187" s="885"/>
      <c r="G187" s="888"/>
      <c r="H187" s="891"/>
      <c r="I187" s="896"/>
      <c r="J187" s="897"/>
      <c r="K187" s="906"/>
      <c r="L187" s="910"/>
      <c r="M187" s="797" t="s">
        <v>1944</v>
      </c>
      <c r="N187" s="798" t="s">
        <v>1928</v>
      </c>
      <c r="O187" s="800">
        <v>1</v>
      </c>
      <c r="P187" s="43">
        <v>0</v>
      </c>
      <c r="Q187" s="43">
        <v>0</v>
      </c>
      <c r="R187" s="913"/>
      <c r="S187" s="44">
        <v>0</v>
      </c>
      <c r="T187" s="916"/>
      <c r="U187" s="44">
        <v>0</v>
      </c>
      <c r="V187" s="916"/>
      <c r="W187" s="44">
        <v>0</v>
      </c>
      <c r="X187" s="916"/>
      <c r="Y187" s="44">
        <v>0</v>
      </c>
      <c r="Z187" s="916"/>
      <c r="AA187" s="44">
        <v>0</v>
      </c>
      <c r="AB187" s="916"/>
      <c r="AC187" s="44">
        <v>0</v>
      </c>
      <c r="AD187" s="916"/>
      <c r="AE187" s="44">
        <v>0</v>
      </c>
      <c r="AF187" s="901"/>
      <c r="AG187" s="44">
        <v>0</v>
      </c>
      <c r="AH187" s="901"/>
      <c r="AI187" s="44">
        <v>0</v>
      </c>
      <c r="AJ187" s="904"/>
      <c r="AK187" s="99">
        <f t="shared" si="112"/>
        <v>0</v>
      </c>
      <c r="AL187" s="47">
        <v>0</v>
      </c>
      <c r="AM187" s="48">
        <v>0</v>
      </c>
      <c r="AN187" s="48">
        <v>0</v>
      </c>
      <c r="AO187" s="48">
        <v>0</v>
      </c>
      <c r="AP187" s="48">
        <v>0</v>
      </c>
      <c r="AQ187" s="48">
        <v>0</v>
      </c>
      <c r="AR187" s="49">
        <f t="shared" si="113"/>
        <v>0</v>
      </c>
      <c r="AS187" s="50">
        <v>0</v>
      </c>
      <c r="AT187" s="48">
        <v>0</v>
      </c>
      <c r="AU187" s="49">
        <f t="shared" si="114"/>
        <v>0</v>
      </c>
      <c r="AV187" s="50">
        <v>0</v>
      </c>
      <c r="AW187" s="48">
        <v>0</v>
      </c>
      <c r="AX187" s="48">
        <v>0</v>
      </c>
      <c r="AY187" s="48">
        <v>0</v>
      </c>
      <c r="AZ187" s="51">
        <v>0</v>
      </c>
      <c r="BA187" s="52"/>
      <c r="BB187" s="52"/>
      <c r="BC187" s="53" t="s">
        <v>1964</v>
      </c>
    </row>
    <row r="188" spans="1:55" ht="17.25" customHeight="1" x14ac:dyDescent="0.2">
      <c r="A188" s="871"/>
      <c r="B188" s="873"/>
      <c r="C188" s="876"/>
      <c r="D188" s="879"/>
      <c r="E188" s="883"/>
      <c r="F188" s="885"/>
      <c r="G188" s="888"/>
      <c r="H188" s="891"/>
      <c r="I188" s="896"/>
      <c r="J188" s="897"/>
      <c r="K188" s="906"/>
      <c r="L188" s="910"/>
      <c r="M188" s="797" t="s">
        <v>1945</v>
      </c>
      <c r="N188" s="798" t="s">
        <v>1928</v>
      </c>
      <c r="O188" s="800">
        <v>1</v>
      </c>
      <c r="P188" s="43">
        <v>0</v>
      </c>
      <c r="Q188" s="43">
        <v>0</v>
      </c>
      <c r="R188" s="913"/>
      <c r="S188" s="44">
        <v>0</v>
      </c>
      <c r="T188" s="916"/>
      <c r="U188" s="44">
        <v>0</v>
      </c>
      <c r="V188" s="916"/>
      <c r="W188" s="44">
        <v>0</v>
      </c>
      <c r="X188" s="916"/>
      <c r="Y188" s="44">
        <v>0</v>
      </c>
      <c r="Z188" s="916"/>
      <c r="AA188" s="44">
        <v>0</v>
      </c>
      <c r="AB188" s="916"/>
      <c r="AC188" s="44">
        <v>0</v>
      </c>
      <c r="AD188" s="916"/>
      <c r="AE188" s="44">
        <v>0</v>
      </c>
      <c r="AF188" s="901"/>
      <c r="AG188" s="44">
        <v>0</v>
      </c>
      <c r="AH188" s="901"/>
      <c r="AI188" s="44">
        <v>0</v>
      </c>
      <c r="AJ188" s="904"/>
      <c r="AK188" s="99">
        <f t="shared" si="112"/>
        <v>0</v>
      </c>
      <c r="AL188" s="47">
        <v>0</v>
      </c>
      <c r="AM188" s="48">
        <v>0</v>
      </c>
      <c r="AN188" s="48">
        <v>0</v>
      </c>
      <c r="AO188" s="48">
        <v>0</v>
      </c>
      <c r="AP188" s="48">
        <v>0</v>
      </c>
      <c r="AQ188" s="48">
        <v>0</v>
      </c>
      <c r="AR188" s="49">
        <f t="shared" si="113"/>
        <v>0</v>
      </c>
      <c r="AS188" s="50">
        <v>0</v>
      </c>
      <c r="AT188" s="48">
        <v>0</v>
      </c>
      <c r="AU188" s="49">
        <f t="shared" si="114"/>
        <v>0</v>
      </c>
      <c r="AV188" s="50">
        <v>0</v>
      </c>
      <c r="AW188" s="48">
        <v>0</v>
      </c>
      <c r="AX188" s="48">
        <v>0</v>
      </c>
      <c r="AY188" s="48">
        <v>0</v>
      </c>
      <c r="AZ188" s="51">
        <v>0</v>
      </c>
      <c r="BA188" s="52"/>
      <c r="BB188" s="52"/>
      <c r="BC188" s="53" t="s">
        <v>1964</v>
      </c>
    </row>
    <row r="189" spans="1:55" ht="17.25" customHeight="1" x14ac:dyDescent="0.2">
      <c r="A189" s="871"/>
      <c r="B189" s="874"/>
      <c r="C189" s="877"/>
      <c r="D189" s="880"/>
      <c r="E189" s="883"/>
      <c r="F189" s="886"/>
      <c r="G189" s="889"/>
      <c r="H189" s="892"/>
      <c r="I189" s="896"/>
      <c r="J189" s="897"/>
      <c r="K189" s="907"/>
      <c r="L189" s="910"/>
      <c r="M189" s="170"/>
      <c r="N189" s="171"/>
      <c r="O189" s="172"/>
      <c r="P189" s="100"/>
      <c r="Q189" s="100"/>
      <c r="R189" s="913"/>
      <c r="S189" s="101"/>
      <c r="T189" s="916"/>
      <c r="U189" s="102"/>
      <c r="V189" s="916"/>
      <c r="W189" s="102"/>
      <c r="X189" s="916"/>
      <c r="Y189" s="102"/>
      <c r="Z189" s="916"/>
      <c r="AA189" s="102"/>
      <c r="AB189" s="916"/>
      <c r="AC189" s="102"/>
      <c r="AD189" s="916"/>
      <c r="AE189" s="102"/>
      <c r="AF189" s="901"/>
      <c r="AG189" s="103"/>
      <c r="AH189" s="901"/>
      <c r="AI189" s="102"/>
      <c r="AJ189" s="905"/>
      <c r="AK189" s="99">
        <f t="shared" si="112"/>
        <v>0</v>
      </c>
      <c r="AL189" s="104"/>
      <c r="AM189" s="105"/>
      <c r="AN189" s="105"/>
      <c r="AO189" s="105"/>
      <c r="AP189" s="105"/>
      <c r="AQ189" s="105"/>
      <c r="AR189" s="49">
        <f t="shared" ref="AR189" si="115">SUM(AL189:AQ189)</f>
        <v>0</v>
      </c>
      <c r="AS189" s="106"/>
      <c r="AT189" s="105"/>
      <c r="AU189" s="49">
        <f>SUM(AS189:AT189)</f>
        <v>0</v>
      </c>
      <c r="AV189" s="106"/>
      <c r="AW189" s="105"/>
      <c r="AX189" s="105"/>
      <c r="AY189" s="105"/>
      <c r="AZ189" s="107"/>
      <c r="BA189" s="108"/>
      <c r="BB189" s="108"/>
      <c r="BC189" s="109"/>
    </row>
    <row r="190" spans="1:55" ht="9.9499999999999993" customHeight="1" thickBot="1" x14ac:dyDescent="0.25">
      <c r="A190" s="872"/>
      <c r="B190" s="875"/>
      <c r="C190" s="878"/>
      <c r="D190" s="881"/>
      <c r="E190" s="884"/>
      <c r="F190" s="887"/>
      <c r="G190" s="890"/>
      <c r="H190" s="893"/>
      <c r="I190" s="898"/>
      <c r="J190" s="899"/>
      <c r="K190" s="908"/>
      <c r="L190" s="911"/>
      <c r="M190" s="173"/>
      <c r="N190" s="174"/>
      <c r="O190" s="175"/>
      <c r="P190" s="110"/>
      <c r="Q190" s="110"/>
      <c r="R190" s="914"/>
      <c r="S190" s="176"/>
      <c r="T190" s="917"/>
      <c r="U190" s="177"/>
      <c r="V190" s="917"/>
      <c r="W190" s="177"/>
      <c r="X190" s="917"/>
      <c r="Y190" s="177"/>
      <c r="Z190" s="917"/>
      <c r="AA190" s="177"/>
      <c r="AB190" s="917"/>
      <c r="AC190" s="177"/>
      <c r="AD190" s="917"/>
      <c r="AE190" s="177"/>
      <c r="AF190" s="902"/>
      <c r="AG190" s="178"/>
      <c r="AH190" s="902"/>
      <c r="AI190" s="177"/>
      <c r="AJ190" s="111"/>
      <c r="AK190" s="112"/>
      <c r="AL190" s="179"/>
      <c r="AM190" s="180"/>
      <c r="AN190" s="180"/>
      <c r="AO190" s="180"/>
      <c r="AP190" s="180"/>
      <c r="AQ190" s="180"/>
      <c r="AR190" s="113"/>
      <c r="AS190" s="181"/>
      <c r="AT190" s="180"/>
      <c r="AU190" s="113"/>
      <c r="AV190" s="181"/>
      <c r="AW190" s="180"/>
      <c r="AX190" s="180"/>
      <c r="AY190" s="180"/>
      <c r="AZ190" s="182"/>
      <c r="BA190" s="183"/>
      <c r="BB190" s="183"/>
      <c r="BC190" s="184"/>
    </row>
    <row r="191" spans="1:55" ht="6" customHeight="1" x14ac:dyDescent="0.2">
      <c r="A191" s="149"/>
      <c r="B191" s="185"/>
      <c r="C191" s="185"/>
      <c r="D191" s="185"/>
      <c r="E191" s="185"/>
      <c r="F191" s="185"/>
      <c r="G191" s="185"/>
      <c r="H191" s="185"/>
      <c r="I191" s="918"/>
      <c r="J191" s="918"/>
      <c r="K191" s="185"/>
      <c r="L191" s="185"/>
      <c r="M191" s="185"/>
      <c r="N191" s="185"/>
      <c r="O191" s="185"/>
      <c r="P191" s="185"/>
      <c r="Q191" s="185"/>
      <c r="R191" s="185"/>
      <c r="S191" s="185"/>
      <c r="T191" s="185"/>
      <c r="U191" s="185"/>
      <c r="V191" s="185"/>
      <c r="W191" s="185"/>
      <c r="X191" s="185"/>
      <c r="Y191" s="185"/>
      <c r="Z191" s="185"/>
      <c r="AA191" s="185"/>
      <c r="AB191" s="185"/>
      <c r="AC191" s="185"/>
      <c r="AD191" s="185"/>
      <c r="AE191" s="185"/>
      <c r="AF191" s="185"/>
      <c r="AG191" s="185"/>
      <c r="AH191" s="185"/>
      <c r="AI191" s="185"/>
      <c r="AJ191" s="185"/>
      <c r="AK191" s="186"/>
      <c r="AL191" s="186"/>
      <c r="AM191" s="186"/>
      <c r="AN191" s="186"/>
      <c r="AO191" s="186"/>
      <c r="AP191" s="186"/>
      <c r="AQ191" s="187"/>
      <c r="AR191" s="186"/>
      <c r="AS191" s="186"/>
      <c r="AT191" s="186"/>
      <c r="AU191" s="186"/>
      <c r="AV191" s="186"/>
      <c r="AW191" s="186"/>
      <c r="AX191" s="186"/>
      <c r="AY191" s="186"/>
      <c r="AZ191" s="186"/>
      <c r="BA191" s="186"/>
      <c r="BB191" s="186"/>
      <c r="BC191" s="149"/>
    </row>
    <row r="192" spans="1:55" ht="72" customHeight="1" x14ac:dyDescent="0.2">
      <c r="A192" s="870">
        <v>21</v>
      </c>
      <c r="B192" s="154" t="s">
        <v>1704</v>
      </c>
      <c r="C192" s="155" t="s">
        <v>1705</v>
      </c>
      <c r="D192" s="156" t="s">
        <v>21</v>
      </c>
      <c r="E192" s="156" t="s">
        <v>1890</v>
      </c>
      <c r="F192" s="155" t="s">
        <v>1706</v>
      </c>
      <c r="G192" s="157" t="s">
        <v>1679</v>
      </c>
      <c r="H192" s="157" t="s">
        <v>1680</v>
      </c>
      <c r="I192" s="158" t="s">
        <v>1906</v>
      </c>
      <c r="J192" s="159">
        <f>+$N$3</f>
        <v>2019</v>
      </c>
      <c r="K192" s="157" t="s">
        <v>1923</v>
      </c>
      <c r="L192" s="158" t="s">
        <v>1951</v>
      </c>
      <c r="M192" s="155" t="s">
        <v>1707</v>
      </c>
      <c r="N192" s="155" t="s">
        <v>1708</v>
      </c>
      <c r="O192" s="155" t="s">
        <v>1709</v>
      </c>
      <c r="P192" s="155" t="s">
        <v>1961</v>
      </c>
      <c r="Q192" s="155" t="s">
        <v>1952</v>
      </c>
      <c r="R192" s="160">
        <f>SUM(R193:R199)</f>
        <v>0</v>
      </c>
      <c r="S192" s="161">
        <f t="shared" ref="S192:AK192" si="116">SUM(S193:S199)</f>
        <v>0</v>
      </c>
      <c r="T192" s="162">
        <f t="shared" si="116"/>
        <v>0</v>
      </c>
      <c r="U192" s="163">
        <f t="shared" si="116"/>
        <v>0</v>
      </c>
      <c r="V192" s="162">
        <f t="shared" si="116"/>
        <v>0</v>
      </c>
      <c r="W192" s="163">
        <f t="shared" si="116"/>
        <v>0</v>
      </c>
      <c r="X192" s="162">
        <f t="shared" si="116"/>
        <v>0</v>
      </c>
      <c r="Y192" s="163">
        <f t="shared" si="116"/>
        <v>0</v>
      </c>
      <c r="Z192" s="162">
        <f t="shared" si="116"/>
        <v>0</v>
      </c>
      <c r="AA192" s="163">
        <f t="shared" si="116"/>
        <v>0</v>
      </c>
      <c r="AB192" s="162">
        <f t="shared" si="116"/>
        <v>0</v>
      </c>
      <c r="AC192" s="163">
        <f t="shared" si="116"/>
        <v>0</v>
      </c>
      <c r="AD192" s="162">
        <f t="shared" si="116"/>
        <v>0</v>
      </c>
      <c r="AE192" s="163">
        <f t="shared" si="116"/>
        <v>0</v>
      </c>
      <c r="AF192" s="162">
        <f t="shared" si="116"/>
        <v>0</v>
      </c>
      <c r="AG192" s="164">
        <f t="shared" si="116"/>
        <v>0</v>
      </c>
      <c r="AH192" s="162">
        <f t="shared" si="116"/>
        <v>0</v>
      </c>
      <c r="AI192" s="163">
        <f t="shared" si="116"/>
        <v>0</v>
      </c>
      <c r="AJ192" s="165">
        <f t="shared" si="116"/>
        <v>0</v>
      </c>
      <c r="AK192" s="166">
        <f t="shared" si="116"/>
        <v>0</v>
      </c>
      <c r="AL192" s="849"/>
      <c r="AM192" s="850"/>
      <c r="AN192" s="850"/>
      <c r="AO192" s="850"/>
      <c r="AP192" s="850"/>
      <c r="AQ192" s="850"/>
      <c r="AR192" s="851"/>
      <c r="AS192" s="852"/>
      <c r="AT192" s="850"/>
      <c r="AU192" s="851"/>
      <c r="AV192" s="852"/>
      <c r="AW192" s="850"/>
      <c r="AX192" s="850"/>
      <c r="AY192" s="850"/>
      <c r="AZ192" s="853"/>
      <c r="BA192" s="41" t="s">
        <v>1685</v>
      </c>
      <c r="BB192" s="41" t="s">
        <v>1954</v>
      </c>
      <c r="BC192" s="42" t="s">
        <v>1686</v>
      </c>
    </row>
    <row r="193" spans="1:55" ht="36" x14ac:dyDescent="0.2">
      <c r="A193" s="871"/>
      <c r="B193" s="873" t="str">
        <f>VLOOKUP($D$9,'PROYECTOS REGISTRADOS'!$A$2:$D$82,4,0)</f>
        <v>Construcción y mantenimiento de infraestructura municipal Tocancipá, Cundinamarca, Centro Oriente</v>
      </c>
      <c r="C193" s="876" t="str">
        <f>VLOOKUP($D$9,'PROYECTOS REGISTRADOS'!$A$2:$D$82,3,0)</f>
        <v>2016-25817-0036</v>
      </c>
      <c r="D193" s="879" t="s">
        <v>1070</v>
      </c>
      <c r="E193" s="882" t="str">
        <f>IF(D193=0,"0-0",(VLOOKUP(D193,'CONSOLIDADO PLAN DESARROLLO'!$EL$9:$ET$304,2,0)))</f>
        <v>Constituir el mecanismo de gestión y financiación contemplados en el PDM para la construcción Zona de integración social del Municipio</v>
      </c>
      <c r="F193" s="885" t="str">
        <f>IF(D193=0,"0-0",(VLOOKUP(D193,'CONSOLIDADO PLAN DESARROLLO'!$EL$9:$ET$304,3,0)))</f>
        <v>N° mecanismos adoptados</v>
      </c>
      <c r="G193" s="888">
        <f>IF(D193=0,"0-0",(VLOOKUP(D193,'CONSOLIDADO PLAN DESARROLLO'!$EL$9:$ET$304,4,0)))</f>
        <v>0</v>
      </c>
      <c r="H193" s="891">
        <f>IF(D193=0,"0-0",(VLOOKUP(D193,'CONSOLIDADO PLAN DESARROLLO'!$EL$9:$ET$304,5,0)))</f>
        <v>1</v>
      </c>
      <c r="I193" s="894">
        <f>IF(D193=0,"0-0",(VLOOKUP(D193,'CONSOLIDADO PLAN DESARROLLO'!$EL$9:$ET$304,$R$3,0)))</f>
        <v>0</v>
      </c>
      <c r="J193" s="895"/>
      <c r="K193" s="906">
        <v>0</v>
      </c>
      <c r="L193" s="909">
        <v>0</v>
      </c>
      <c r="M193" s="799" t="s">
        <v>1946</v>
      </c>
      <c r="N193" s="798" t="s">
        <v>1928</v>
      </c>
      <c r="O193" s="800">
        <v>0</v>
      </c>
      <c r="P193" s="43">
        <v>0</v>
      </c>
      <c r="Q193" s="43">
        <v>0</v>
      </c>
      <c r="R193" s="912">
        <f>VLOOKUP($D193,'[4]Tablero Logro Metas 2019'!$AK$7:$AS$302,3,0)</f>
        <v>0</v>
      </c>
      <c r="S193" s="44">
        <v>0</v>
      </c>
      <c r="T193" s="915">
        <f>VLOOKUP($D193,'[4]Tablero Logro Metas 2019'!$AK$7:$AS$302,4,0)</f>
        <v>0</v>
      </c>
      <c r="U193" s="44">
        <v>0</v>
      </c>
      <c r="V193" s="915">
        <f>VLOOKUP($D193,'[4]Tablero Logro Metas 2019'!$AK$7:$AS$302,5,0)</f>
        <v>0</v>
      </c>
      <c r="W193" s="44">
        <v>0</v>
      </c>
      <c r="X193" s="915">
        <f>VLOOKUP($D193,'[4]Tablero Logro Metas 2019'!$AK$7:$AS$302,6,0)</f>
        <v>0</v>
      </c>
      <c r="Y193" s="44">
        <v>0</v>
      </c>
      <c r="Z193" s="915">
        <f>VLOOKUP($D193,'[4]Tablero Logro Metas 2019'!$AK$7:$AS$302,7,0)</f>
        <v>0</v>
      </c>
      <c r="AA193" s="44">
        <v>0</v>
      </c>
      <c r="AB193" s="915">
        <f>VLOOKUP($D193,'[4]Tablero Logro Metas 2019'!$AK$7:$AS$302,8,0)</f>
        <v>0</v>
      </c>
      <c r="AC193" s="44">
        <v>0</v>
      </c>
      <c r="AD193" s="915">
        <f>VLOOKUP($D193,'[4]Tablero Logro Metas 2019'!$AK$7:$AS$302,9,0)</f>
        <v>0</v>
      </c>
      <c r="AE193" s="44">
        <v>0</v>
      </c>
      <c r="AF193" s="900"/>
      <c r="AG193" s="44">
        <v>0</v>
      </c>
      <c r="AH193" s="900"/>
      <c r="AI193" s="44">
        <v>0</v>
      </c>
      <c r="AJ193" s="903">
        <f>+R193+T193+V193+X193+Z193+AB193+AD193+AF193+AH193</f>
        <v>0</v>
      </c>
      <c r="AK193" s="99">
        <f t="shared" ref="AK193:AK198" si="117">AC193+AE193+AG193+S193+U193+W193+Y193+AA193+AI193</f>
        <v>0</v>
      </c>
      <c r="AL193" s="47">
        <v>0</v>
      </c>
      <c r="AM193" s="48">
        <v>0</v>
      </c>
      <c r="AN193" s="48">
        <v>0</v>
      </c>
      <c r="AO193" s="48">
        <v>0</v>
      </c>
      <c r="AP193" s="48">
        <v>0</v>
      </c>
      <c r="AQ193" s="48">
        <v>0</v>
      </c>
      <c r="AR193" s="49">
        <f t="shared" ref="AR193:AR197" si="118">SUM(AL193:AQ193)</f>
        <v>0</v>
      </c>
      <c r="AS193" s="50">
        <v>0</v>
      </c>
      <c r="AT193" s="48">
        <v>0</v>
      </c>
      <c r="AU193" s="49">
        <f t="shared" ref="AU193:AU197" si="119">SUM(AS193:AT193)</f>
        <v>0</v>
      </c>
      <c r="AV193" s="50">
        <v>0</v>
      </c>
      <c r="AW193" s="48">
        <v>0</v>
      </c>
      <c r="AX193" s="48">
        <v>0</v>
      </c>
      <c r="AY193" s="48">
        <v>0</v>
      </c>
      <c r="AZ193" s="51">
        <v>0</v>
      </c>
      <c r="BA193" s="52"/>
      <c r="BB193" s="52"/>
      <c r="BC193" s="53" t="s">
        <v>1964</v>
      </c>
    </row>
    <row r="194" spans="1:55" ht="17.25" customHeight="1" x14ac:dyDescent="0.2">
      <c r="A194" s="871"/>
      <c r="B194" s="873"/>
      <c r="C194" s="876"/>
      <c r="D194" s="879"/>
      <c r="E194" s="883"/>
      <c r="F194" s="885"/>
      <c r="G194" s="888"/>
      <c r="H194" s="891"/>
      <c r="I194" s="896"/>
      <c r="J194" s="897"/>
      <c r="K194" s="906"/>
      <c r="L194" s="910"/>
      <c r="M194" s="797" t="s">
        <v>1938</v>
      </c>
      <c r="N194" s="798" t="s">
        <v>1928</v>
      </c>
      <c r="O194" s="800">
        <v>0</v>
      </c>
      <c r="P194" s="43">
        <v>0</v>
      </c>
      <c r="Q194" s="43">
        <v>0</v>
      </c>
      <c r="R194" s="913"/>
      <c r="S194" s="44">
        <v>0</v>
      </c>
      <c r="T194" s="916"/>
      <c r="U194" s="44">
        <v>0</v>
      </c>
      <c r="V194" s="916"/>
      <c r="W194" s="44">
        <v>0</v>
      </c>
      <c r="X194" s="916"/>
      <c r="Y194" s="44">
        <v>0</v>
      </c>
      <c r="Z194" s="916"/>
      <c r="AA194" s="44">
        <v>0</v>
      </c>
      <c r="AB194" s="916"/>
      <c r="AC194" s="44">
        <v>0</v>
      </c>
      <c r="AD194" s="916"/>
      <c r="AE194" s="44">
        <v>0</v>
      </c>
      <c r="AF194" s="901"/>
      <c r="AG194" s="44">
        <v>0</v>
      </c>
      <c r="AH194" s="901"/>
      <c r="AI194" s="44">
        <v>0</v>
      </c>
      <c r="AJ194" s="904"/>
      <c r="AK194" s="99">
        <f t="shared" si="117"/>
        <v>0</v>
      </c>
      <c r="AL194" s="47">
        <v>0</v>
      </c>
      <c r="AM194" s="48">
        <v>0</v>
      </c>
      <c r="AN194" s="48">
        <v>0</v>
      </c>
      <c r="AO194" s="48">
        <v>0</v>
      </c>
      <c r="AP194" s="48">
        <v>0</v>
      </c>
      <c r="AQ194" s="48">
        <v>0</v>
      </c>
      <c r="AR194" s="49">
        <f t="shared" si="118"/>
        <v>0</v>
      </c>
      <c r="AS194" s="50">
        <v>0</v>
      </c>
      <c r="AT194" s="48">
        <v>0</v>
      </c>
      <c r="AU194" s="49">
        <f t="shared" si="119"/>
        <v>0</v>
      </c>
      <c r="AV194" s="50">
        <v>0</v>
      </c>
      <c r="AW194" s="48">
        <v>0</v>
      </c>
      <c r="AX194" s="48">
        <v>0</v>
      </c>
      <c r="AY194" s="48">
        <v>0</v>
      </c>
      <c r="AZ194" s="51">
        <v>0</v>
      </c>
      <c r="BA194" s="52"/>
      <c r="BB194" s="52"/>
      <c r="BC194" s="53" t="s">
        <v>1964</v>
      </c>
    </row>
    <row r="195" spans="1:55" ht="17.25" customHeight="1" x14ac:dyDescent="0.2">
      <c r="A195" s="871"/>
      <c r="B195" s="873"/>
      <c r="C195" s="876"/>
      <c r="D195" s="879"/>
      <c r="E195" s="883"/>
      <c r="F195" s="885"/>
      <c r="G195" s="888"/>
      <c r="H195" s="891"/>
      <c r="I195" s="896"/>
      <c r="J195" s="897"/>
      <c r="K195" s="906"/>
      <c r="L195" s="910"/>
      <c r="M195" s="797" t="s">
        <v>1932</v>
      </c>
      <c r="N195" s="798" t="s">
        <v>1928</v>
      </c>
      <c r="O195" s="800">
        <v>0</v>
      </c>
      <c r="P195" s="43">
        <v>0</v>
      </c>
      <c r="Q195" s="43">
        <v>0</v>
      </c>
      <c r="R195" s="913"/>
      <c r="S195" s="44">
        <v>0</v>
      </c>
      <c r="T195" s="916"/>
      <c r="U195" s="44">
        <v>0</v>
      </c>
      <c r="V195" s="916"/>
      <c r="W195" s="44">
        <v>0</v>
      </c>
      <c r="X195" s="916"/>
      <c r="Y195" s="44">
        <v>0</v>
      </c>
      <c r="Z195" s="916"/>
      <c r="AA195" s="44">
        <v>0</v>
      </c>
      <c r="AB195" s="916"/>
      <c r="AC195" s="44">
        <v>0</v>
      </c>
      <c r="AD195" s="916"/>
      <c r="AE195" s="44">
        <v>0</v>
      </c>
      <c r="AF195" s="901"/>
      <c r="AG195" s="44">
        <v>0</v>
      </c>
      <c r="AH195" s="901"/>
      <c r="AI195" s="44">
        <v>0</v>
      </c>
      <c r="AJ195" s="904"/>
      <c r="AK195" s="99">
        <f t="shared" si="117"/>
        <v>0</v>
      </c>
      <c r="AL195" s="47">
        <v>0</v>
      </c>
      <c r="AM195" s="48">
        <v>0</v>
      </c>
      <c r="AN195" s="48">
        <v>0</v>
      </c>
      <c r="AO195" s="48">
        <v>0</v>
      </c>
      <c r="AP195" s="48">
        <v>0</v>
      </c>
      <c r="AQ195" s="48">
        <v>0</v>
      </c>
      <c r="AR195" s="49">
        <f t="shared" si="118"/>
        <v>0</v>
      </c>
      <c r="AS195" s="50">
        <v>0</v>
      </c>
      <c r="AT195" s="48">
        <v>0</v>
      </c>
      <c r="AU195" s="49">
        <f t="shared" si="119"/>
        <v>0</v>
      </c>
      <c r="AV195" s="50">
        <v>0</v>
      </c>
      <c r="AW195" s="48">
        <v>0</v>
      </c>
      <c r="AX195" s="48">
        <v>0</v>
      </c>
      <c r="AY195" s="48">
        <v>0</v>
      </c>
      <c r="AZ195" s="51">
        <v>0</v>
      </c>
      <c r="BA195" s="52"/>
      <c r="BB195" s="52"/>
      <c r="BC195" s="53" t="s">
        <v>1964</v>
      </c>
    </row>
    <row r="196" spans="1:55" ht="17.25" customHeight="1" x14ac:dyDescent="0.2">
      <c r="A196" s="871"/>
      <c r="B196" s="873"/>
      <c r="C196" s="876"/>
      <c r="D196" s="879"/>
      <c r="E196" s="883"/>
      <c r="F196" s="885"/>
      <c r="G196" s="888"/>
      <c r="H196" s="891"/>
      <c r="I196" s="896"/>
      <c r="J196" s="897"/>
      <c r="K196" s="906"/>
      <c r="L196" s="910"/>
      <c r="M196" s="797" t="s">
        <v>1944</v>
      </c>
      <c r="N196" s="798" t="s">
        <v>1928</v>
      </c>
      <c r="O196" s="800">
        <v>0.7</v>
      </c>
      <c r="P196" s="43">
        <v>0</v>
      </c>
      <c r="Q196" s="43">
        <v>0</v>
      </c>
      <c r="R196" s="913"/>
      <c r="S196" s="44">
        <v>0</v>
      </c>
      <c r="T196" s="916"/>
      <c r="U196" s="44">
        <v>0</v>
      </c>
      <c r="V196" s="916"/>
      <c r="W196" s="44">
        <v>0</v>
      </c>
      <c r="X196" s="916"/>
      <c r="Y196" s="44">
        <v>0</v>
      </c>
      <c r="Z196" s="916"/>
      <c r="AA196" s="44">
        <v>0</v>
      </c>
      <c r="AB196" s="916"/>
      <c r="AC196" s="44">
        <v>0</v>
      </c>
      <c r="AD196" s="916"/>
      <c r="AE196" s="44">
        <v>0</v>
      </c>
      <c r="AF196" s="901"/>
      <c r="AG196" s="44">
        <v>0</v>
      </c>
      <c r="AH196" s="901"/>
      <c r="AI196" s="44">
        <v>0</v>
      </c>
      <c r="AJ196" s="904"/>
      <c r="AK196" s="99">
        <f t="shared" si="117"/>
        <v>0</v>
      </c>
      <c r="AL196" s="47">
        <v>0</v>
      </c>
      <c r="AM196" s="48">
        <v>0</v>
      </c>
      <c r="AN196" s="48">
        <v>0</v>
      </c>
      <c r="AO196" s="48">
        <v>0</v>
      </c>
      <c r="AP196" s="48">
        <v>0</v>
      </c>
      <c r="AQ196" s="48">
        <v>0</v>
      </c>
      <c r="AR196" s="49">
        <f t="shared" si="118"/>
        <v>0</v>
      </c>
      <c r="AS196" s="50">
        <v>0</v>
      </c>
      <c r="AT196" s="48">
        <v>0</v>
      </c>
      <c r="AU196" s="49">
        <f t="shared" si="119"/>
        <v>0</v>
      </c>
      <c r="AV196" s="50">
        <v>0</v>
      </c>
      <c r="AW196" s="48">
        <v>0</v>
      </c>
      <c r="AX196" s="48">
        <v>0</v>
      </c>
      <c r="AY196" s="48">
        <v>0</v>
      </c>
      <c r="AZ196" s="51">
        <v>0</v>
      </c>
      <c r="BA196" s="52"/>
      <c r="BB196" s="52"/>
      <c r="BC196" s="53" t="s">
        <v>1964</v>
      </c>
    </row>
    <row r="197" spans="1:55" ht="17.25" customHeight="1" x14ac:dyDescent="0.2">
      <c r="A197" s="871"/>
      <c r="B197" s="873"/>
      <c r="C197" s="876"/>
      <c r="D197" s="879"/>
      <c r="E197" s="883"/>
      <c r="F197" s="885"/>
      <c r="G197" s="888"/>
      <c r="H197" s="891"/>
      <c r="I197" s="896"/>
      <c r="J197" s="897"/>
      <c r="K197" s="906"/>
      <c r="L197" s="910"/>
      <c r="M197" s="797" t="s">
        <v>1945</v>
      </c>
      <c r="N197" s="798" t="s">
        <v>1928</v>
      </c>
      <c r="O197" s="800">
        <v>0.7</v>
      </c>
      <c r="P197" s="43">
        <v>0</v>
      </c>
      <c r="Q197" s="43">
        <v>0</v>
      </c>
      <c r="R197" s="913"/>
      <c r="S197" s="44">
        <v>0</v>
      </c>
      <c r="T197" s="916"/>
      <c r="U197" s="44">
        <v>0</v>
      </c>
      <c r="V197" s="916"/>
      <c r="W197" s="44">
        <v>0</v>
      </c>
      <c r="X197" s="916"/>
      <c r="Y197" s="44">
        <v>0</v>
      </c>
      <c r="Z197" s="916"/>
      <c r="AA197" s="44">
        <v>0</v>
      </c>
      <c r="AB197" s="916"/>
      <c r="AC197" s="44">
        <v>0</v>
      </c>
      <c r="AD197" s="916"/>
      <c r="AE197" s="44">
        <v>0</v>
      </c>
      <c r="AF197" s="901"/>
      <c r="AG197" s="44">
        <v>0</v>
      </c>
      <c r="AH197" s="901"/>
      <c r="AI197" s="44">
        <v>0</v>
      </c>
      <c r="AJ197" s="904"/>
      <c r="AK197" s="99">
        <f t="shared" si="117"/>
        <v>0</v>
      </c>
      <c r="AL197" s="47">
        <v>0</v>
      </c>
      <c r="AM197" s="48">
        <v>0</v>
      </c>
      <c r="AN197" s="48">
        <v>0</v>
      </c>
      <c r="AO197" s="48">
        <v>0</v>
      </c>
      <c r="AP197" s="48">
        <v>0</v>
      </c>
      <c r="AQ197" s="48">
        <v>0</v>
      </c>
      <c r="AR197" s="49">
        <f t="shared" si="118"/>
        <v>0</v>
      </c>
      <c r="AS197" s="50">
        <v>0</v>
      </c>
      <c r="AT197" s="48">
        <v>0</v>
      </c>
      <c r="AU197" s="49">
        <f t="shared" si="119"/>
        <v>0</v>
      </c>
      <c r="AV197" s="50">
        <v>0</v>
      </c>
      <c r="AW197" s="48">
        <v>0</v>
      </c>
      <c r="AX197" s="48">
        <v>0</v>
      </c>
      <c r="AY197" s="48">
        <v>0</v>
      </c>
      <c r="AZ197" s="51">
        <v>0</v>
      </c>
      <c r="BA197" s="52"/>
      <c r="BB197" s="52"/>
      <c r="BC197" s="53" t="s">
        <v>1964</v>
      </c>
    </row>
    <row r="198" spans="1:55" ht="17.25" customHeight="1" x14ac:dyDescent="0.2">
      <c r="A198" s="871"/>
      <c r="B198" s="874"/>
      <c r="C198" s="877"/>
      <c r="D198" s="880"/>
      <c r="E198" s="883"/>
      <c r="F198" s="886"/>
      <c r="G198" s="889"/>
      <c r="H198" s="892"/>
      <c r="I198" s="896"/>
      <c r="J198" s="897"/>
      <c r="K198" s="907"/>
      <c r="L198" s="910"/>
      <c r="M198" s="170"/>
      <c r="N198" s="171"/>
      <c r="O198" s="172"/>
      <c r="P198" s="100"/>
      <c r="Q198" s="100"/>
      <c r="R198" s="913"/>
      <c r="S198" s="101"/>
      <c r="T198" s="916"/>
      <c r="U198" s="102"/>
      <c r="V198" s="916"/>
      <c r="W198" s="102"/>
      <c r="X198" s="916"/>
      <c r="Y198" s="102"/>
      <c r="Z198" s="916"/>
      <c r="AA198" s="102"/>
      <c r="AB198" s="916"/>
      <c r="AC198" s="102"/>
      <c r="AD198" s="916"/>
      <c r="AE198" s="102"/>
      <c r="AF198" s="901"/>
      <c r="AG198" s="103"/>
      <c r="AH198" s="901"/>
      <c r="AI198" s="102"/>
      <c r="AJ198" s="905"/>
      <c r="AK198" s="99">
        <f t="shared" si="117"/>
        <v>0</v>
      </c>
      <c r="AL198" s="104"/>
      <c r="AM198" s="105"/>
      <c r="AN198" s="105"/>
      <c r="AO198" s="105"/>
      <c r="AP198" s="105"/>
      <c r="AQ198" s="105"/>
      <c r="AR198" s="49">
        <f t="shared" ref="AR198" si="120">SUM(AL198:AQ198)</f>
        <v>0</v>
      </c>
      <c r="AS198" s="106"/>
      <c r="AT198" s="105"/>
      <c r="AU198" s="49">
        <f>SUM(AS198:AT198)</f>
        <v>0</v>
      </c>
      <c r="AV198" s="106"/>
      <c r="AW198" s="105"/>
      <c r="AX198" s="105"/>
      <c r="AY198" s="105"/>
      <c r="AZ198" s="107"/>
      <c r="BA198" s="108"/>
      <c r="BB198" s="108"/>
      <c r="BC198" s="109"/>
    </row>
    <row r="199" spans="1:55" ht="9.9499999999999993" customHeight="1" thickBot="1" x14ac:dyDescent="0.25">
      <c r="A199" s="872"/>
      <c r="B199" s="875"/>
      <c r="C199" s="878"/>
      <c r="D199" s="881"/>
      <c r="E199" s="884"/>
      <c r="F199" s="887"/>
      <c r="G199" s="890"/>
      <c r="H199" s="893"/>
      <c r="I199" s="898"/>
      <c r="J199" s="899"/>
      <c r="K199" s="908"/>
      <c r="L199" s="911"/>
      <c r="M199" s="173"/>
      <c r="N199" s="174"/>
      <c r="O199" s="175"/>
      <c r="P199" s="110"/>
      <c r="Q199" s="110"/>
      <c r="R199" s="914"/>
      <c r="S199" s="176"/>
      <c r="T199" s="917"/>
      <c r="U199" s="177"/>
      <c r="V199" s="917"/>
      <c r="W199" s="177"/>
      <c r="X199" s="917"/>
      <c r="Y199" s="177"/>
      <c r="Z199" s="917"/>
      <c r="AA199" s="177"/>
      <c r="AB199" s="917"/>
      <c r="AC199" s="177"/>
      <c r="AD199" s="917"/>
      <c r="AE199" s="177"/>
      <c r="AF199" s="902"/>
      <c r="AG199" s="178"/>
      <c r="AH199" s="902"/>
      <c r="AI199" s="177"/>
      <c r="AJ199" s="111"/>
      <c r="AK199" s="112"/>
      <c r="AL199" s="179"/>
      <c r="AM199" s="180"/>
      <c r="AN199" s="180"/>
      <c r="AO199" s="180"/>
      <c r="AP199" s="180"/>
      <c r="AQ199" s="180"/>
      <c r="AR199" s="113"/>
      <c r="AS199" s="181"/>
      <c r="AT199" s="180"/>
      <c r="AU199" s="113"/>
      <c r="AV199" s="181"/>
      <c r="AW199" s="180"/>
      <c r="AX199" s="180"/>
      <c r="AY199" s="180"/>
      <c r="AZ199" s="182"/>
      <c r="BA199" s="183"/>
      <c r="BB199" s="183"/>
      <c r="BC199" s="184"/>
    </row>
    <row r="200" spans="1:55" ht="6" customHeight="1" x14ac:dyDescent="0.2">
      <c r="A200" s="149"/>
      <c r="B200" s="185"/>
      <c r="C200" s="185"/>
      <c r="D200" s="185"/>
      <c r="E200" s="185"/>
      <c r="F200" s="185"/>
      <c r="G200" s="185"/>
      <c r="H200" s="185"/>
      <c r="I200" s="918"/>
      <c r="J200" s="918"/>
      <c r="K200" s="185"/>
      <c r="L200" s="185"/>
      <c r="M200" s="185"/>
      <c r="N200" s="185"/>
      <c r="O200" s="185"/>
      <c r="P200" s="185"/>
      <c r="Q200" s="185"/>
      <c r="R200" s="185"/>
      <c r="S200" s="185"/>
      <c r="T200" s="185"/>
      <c r="U200" s="185"/>
      <c r="V200" s="185"/>
      <c r="W200" s="185"/>
      <c r="X200" s="185"/>
      <c r="Y200" s="185"/>
      <c r="Z200" s="185"/>
      <c r="AA200" s="185"/>
      <c r="AB200" s="185"/>
      <c r="AC200" s="185"/>
      <c r="AD200" s="185"/>
      <c r="AE200" s="185"/>
      <c r="AF200" s="185"/>
      <c r="AG200" s="185"/>
      <c r="AH200" s="185"/>
      <c r="AI200" s="185"/>
      <c r="AJ200" s="185"/>
      <c r="AK200" s="186"/>
      <c r="AL200" s="186"/>
      <c r="AM200" s="186"/>
      <c r="AN200" s="186"/>
      <c r="AO200" s="186"/>
      <c r="AP200" s="186"/>
      <c r="AQ200" s="187"/>
      <c r="AR200" s="186"/>
      <c r="AS200" s="186"/>
      <c r="AT200" s="186"/>
      <c r="AU200" s="186"/>
      <c r="AV200" s="186"/>
      <c r="AW200" s="186"/>
      <c r="AX200" s="186"/>
      <c r="AY200" s="186"/>
      <c r="AZ200" s="186"/>
      <c r="BA200" s="186"/>
      <c r="BB200" s="186"/>
      <c r="BC200" s="149"/>
    </row>
    <row r="202" spans="1:55" x14ac:dyDescent="0.2">
      <c r="B202" s="919"/>
      <c r="C202" s="921" t="s">
        <v>1669</v>
      </c>
      <c r="D202" s="922"/>
      <c r="E202" s="922"/>
      <c r="F202" s="922"/>
      <c r="G202" s="922"/>
      <c r="H202" s="922"/>
      <c r="I202" s="922"/>
      <c r="J202" s="922"/>
    </row>
    <row r="203" spans="1:55" x14ac:dyDescent="0.2">
      <c r="B203" s="920"/>
      <c r="C203" s="921"/>
      <c r="D203" s="922"/>
      <c r="E203" s="922"/>
      <c r="F203" s="922"/>
      <c r="G203" s="922"/>
      <c r="H203" s="922"/>
      <c r="I203" s="922"/>
      <c r="J203" s="922"/>
    </row>
    <row r="309" spans="14:15" x14ac:dyDescent="0.2">
      <c r="N309" s="114" t="s">
        <v>1904</v>
      </c>
      <c r="O309" s="114" t="s">
        <v>1905</v>
      </c>
    </row>
    <row r="310" spans="14:15" x14ac:dyDescent="0.2">
      <c r="N310" s="114">
        <v>2016</v>
      </c>
      <c r="O310" s="114">
        <v>6</v>
      </c>
    </row>
    <row r="311" spans="14:15" x14ac:dyDescent="0.2">
      <c r="N311" s="114">
        <v>2017</v>
      </c>
      <c r="O311" s="114">
        <v>7</v>
      </c>
    </row>
    <row r="312" spans="14:15" x14ac:dyDescent="0.2">
      <c r="N312" s="114">
        <v>2018</v>
      </c>
      <c r="O312" s="114">
        <v>8</v>
      </c>
    </row>
    <row r="313" spans="14:15" x14ac:dyDescent="0.2">
      <c r="N313" s="114">
        <v>2019</v>
      </c>
      <c r="O313" s="114">
        <v>9</v>
      </c>
    </row>
    <row r="314" spans="14:15" x14ac:dyDescent="0.2">
      <c r="N314" s="114">
        <v>2020</v>
      </c>
      <c r="O314" s="114">
        <v>10</v>
      </c>
    </row>
  </sheetData>
  <sheetProtection algorithmName="SHA-512" hashValue="/qe2HyOgmPxCbAjrnaORY6bVnih3dikn/PF+9E3ZL6IdCFUkiOHvlqQNyshWhqG/wpySYZ8ty/KhCz5AyJzMMg==" saltValue="0SzEUnHU5NtgDXkDW/AUYQ==" spinCount="100000" sheet="1" objects="1" scenarios="1"/>
  <mergeCells count="510">
    <mergeCell ref="AH157:AH163"/>
    <mergeCell ref="AH166:AH172"/>
    <mergeCell ref="AH175:AH181"/>
    <mergeCell ref="AH184:AH190"/>
    <mergeCell ref="AH193:AH199"/>
    <mergeCell ref="AH22:AH28"/>
    <mergeCell ref="AH31:AH37"/>
    <mergeCell ref="AH40:AH46"/>
    <mergeCell ref="AH49:AH55"/>
    <mergeCell ref="AH58:AH64"/>
    <mergeCell ref="AH67:AH73"/>
    <mergeCell ref="AH76:AH82"/>
    <mergeCell ref="AH85:AH91"/>
    <mergeCell ref="AH94:AH100"/>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H112:AH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H103:AH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H121:AH127"/>
    <mergeCell ref="AH130:AH136"/>
    <mergeCell ref="AH139:AH145"/>
    <mergeCell ref="AH148:AH154"/>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1" customWidth="1"/>
    <col min="2" max="2" width="43.85546875" style="785" customWidth="1"/>
    <col min="3" max="3" width="65" style="785" customWidth="1"/>
    <col min="4" max="4" width="22.7109375" style="786" customWidth="1"/>
    <col min="5" max="5" width="15.42578125" style="787" customWidth="1"/>
    <col min="6" max="6" width="17.140625" style="787" customWidth="1"/>
    <col min="7" max="7" width="56.140625" style="788" customWidth="1"/>
    <col min="8" max="8" width="51.7109375" style="788" customWidth="1"/>
    <col min="9" max="9" width="36.7109375" style="789" customWidth="1"/>
    <col min="10" max="10" width="11.5703125" style="790" customWidth="1"/>
    <col min="11" max="11" width="24.28515625" style="790" customWidth="1"/>
    <col min="12" max="12" width="60.7109375" style="788" customWidth="1"/>
    <col min="13" max="13" width="52.7109375" style="788" customWidth="1"/>
    <col min="14" max="14" width="16.7109375" style="791" customWidth="1"/>
    <col min="15" max="15" width="15.7109375" style="788" customWidth="1"/>
    <col min="16" max="16" width="18.5703125" style="792" customWidth="1"/>
    <col min="17" max="17" width="32.85546875" style="793" customWidth="1"/>
    <col min="18" max="18" width="62.7109375" style="788" customWidth="1"/>
    <col min="19" max="19" width="40.7109375" style="788" customWidth="1"/>
    <col min="20" max="20" width="14.7109375" style="791" customWidth="1"/>
    <col min="21" max="26" width="15.7109375" style="791" customWidth="1"/>
    <col min="27" max="28" width="21.85546875" style="791" bestFit="1" customWidth="1"/>
    <col min="29" max="29" width="19.7109375" style="791" bestFit="1" customWidth="1"/>
    <col min="30" max="30" width="16.28515625" style="791" bestFit="1" customWidth="1"/>
    <col min="31" max="31" width="9.7109375" style="791" bestFit="1" customWidth="1"/>
    <col min="32" max="35" width="21.85546875" style="791" bestFit="1" customWidth="1"/>
    <col min="36" max="36" width="19.7109375" style="791" bestFit="1" customWidth="1"/>
    <col min="37" max="37" width="16.28515625" style="791" bestFit="1" customWidth="1"/>
    <col min="38" max="38" width="9.7109375" style="791" bestFit="1" customWidth="1"/>
    <col min="39" max="42" width="21.85546875" style="791" bestFit="1" customWidth="1"/>
    <col min="43" max="43" width="19.7109375" style="791" bestFit="1" customWidth="1"/>
    <col min="44" max="44" width="16.28515625" style="791" bestFit="1" customWidth="1"/>
    <col min="45" max="45" width="9.7109375" style="791" bestFit="1" customWidth="1"/>
    <col min="46" max="49" width="21.85546875" style="791" bestFit="1" customWidth="1"/>
    <col min="50" max="50" width="19.7109375" style="791" bestFit="1" customWidth="1"/>
    <col min="51" max="51" width="16.28515625" style="791" bestFit="1" customWidth="1"/>
    <col min="52" max="52" width="9.7109375" style="791" bestFit="1" customWidth="1"/>
    <col min="53" max="54" width="21.85546875" style="791" bestFit="1" customWidth="1"/>
    <col min="55" max="55" width="23.42578125" style="791" bestFit="1" customWidth="1"/>
    <col min="56" max="56" width="51.7109375" style="193"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0" t="s">
        <v>0</v>
      </c>
      <c r="C1" s="1020"/>
      <c r="D1" s="1020"/>
      <c r="E1" s="1020"/>
      <c r="F1" s="1020"/>
      <c r="G1" s="1020"/>
      <c r="H1" s="1020"/>
      <c r="I1" s="1020"/>
      <c r="J1" s="1020"/>
      <c r="K1" s="1020"/>
      <c r="L1" s="1020"/>
      <c r="M1" s="1020"/>
      <c r="N1" s="1020"/>
      <c r="O1" s="1020"/>
      <c r="P1" s="1020"/>
      <c r="Q1" s="1020"/>
      <c r="R1" s="1020"/>
      <c r="S1" s="1020"/>
      <c r="T1" s="1020"/>
      <c r="U1" s="1020"/>
      <c r="V1" s="192"/>
      <c r="W1" s="192"/>
      <c r="X1" s="192"/>
      <c r="Y1" s="192"/>
      <c r="Z1" s="192"/>
      <c r="AA1" s="192"/>
      <c r="AB1" s="192"/>
      <c r="AC1" s="192"/>
      <c r="AD1" s="192"/>
      <c r="AE1" s="192"/>
      <c r="AF1" s="192"/>
      <c r="AG1" s="192"/>
      <c r="AH1" s="192"/>
      <c r="AI1" s="192"/>
      <c r="AJ1" s="192"/>
      <c r="AK1" s="192"/>
      <c r="AL1" s="192"/>
      <c r="AM1" s="192"/>
      <c r="AN1" s="192"/>
      <c r="AO1" s="192"/>
      <c r="AP1" s="192"/>
      <c r="AQ1" s="192"/>
      <c r="AR1" s="192"/>
      <c r="AS1" s="192"/>
      <c r="AT1" s="192"/>
      <c r="AU1" s="192"/>
      <c r="AV1" s="192"/>
      <c r="AW1" s="192"/>
      <c r="AX1" s="192"/>
      <c r="AY1" s="192"/>
      <c r="AZ1" s="192"/>
      <c r="BA1" s="192"/>
      <c r="BB1" s="192"/>
      <c r="BC1" s="192"/>
    </row>
    <row r="2" spans="1:150" s="198" customFormat="1" ht="27" customHeight="1" x14ac:dyDescent="0.25">
      <c r="A2" s="194" t="s">
        <v>1</v>
      </c>
      <c r="B2" s="194"/>
      <c r="C2" s="194"/>
      <c r="D2" s="195"/>
      <c r="E2" s="194"/>
      <c r="F2" s="194"/>
      <c r="G2" s="196"/>
      <c r="H2" s="196"/>
      <c r="I2" s="197"/>
      <c r="J2" s="196"/>
      <c r="K2" s="196"/>
      <c r="L2" s="196"/>
      <c r="M2" s="196"/>
      <c r="N2" s="196"/>
      <c r="O2" s="196"/>
      <c r="P2" s="196"/>
      <c r="Q2" s="194"/>
      <c r="R2" s="196"/>
      <c r="S2" s="196"/>
      <c r="T2" s="196"/>
      <c r="U2" s="196"/>
      <c r="V2" s="196"/>
      <c r="W2" s="196"/>
      <c r="X2" s="196"/>
      <c r="Y2" s="196"/>
      <c r="Z2" s="196"/>
      <c r="AA2" s="196"/>
      <c r="AB2" s="196"/>
      <c r="AC2" s="196"/>
      <c r="AD2" s="196"/>
      <c r="AE2" s="196"/>
      <c r="AF2" s="196"/>
      <c r="AG2" s="196"/>
      <c r="AH2" s="196"/>
      <c r="AI2" s="196"/>
      <c r="AJ2" s="196"/>
      <c r="AK2" s="196"/>
      <c r="AL2" s="196"/>
      <c r="AM2" s="196"/>
      <c r="AN2" s="196"/>
      <c r="AO2" s="196"/>
      <c r="AP2" s="196"/>
      <c r="AQ2" s="196"/>
      <c r="AR2" s="196"/>
      <c r="AS2" s="196"/>
      <c r="AT2" s="196"/>
      <c r="AU2" s="196"/>
      <c r="AV2" s="196"/>
      <c r="AW2" s="196"/>
      <c r="AX2" s="196"/>
      <c r="AY2" s="196"/>
      <c r="AZ2" s="196"/>
      <c r="BA2" s="196"/>
      <c r="BB2" s="196"/>
      <c r="BC2" s="196"/>
      <c r="BD2" s="196"/>
    </row>
    <row r="3" spans="1:150" s="198" customFormat="1" ht="27" customHeight="1" x14ac:dyDescent="0.25">
      <c r="A3" s="194" t="s">
        <v>2</v>
      </c>
      <c r="B3" s="199"/>
      <c r="C3" s="199"/>
      <c r="D3" s="200"/>
      <c r="E3" s="199"/>
      <c r="F3" s="199"/>
      <c r="I3" s="201"/>
      <c r="Q3" s="199"/>
    </row>
    <row r="4" spans="1:150" s="198" customFormat="1" ht="35.25" customHeight="1" x14ac:dyDescent="0.25">
      <c r="A4" s="1021" t="s">
        <v>3</v>
      </c>
      <c r="B4" s="1021"/>
      <c r="C4" s="1021"/>
      <c r="D4" s="1021"/>
      <c r="E4" s="1021"/>
      <c r="F4" s="1021"/>
      <c r="G4" s="1021"/>
      <c r="H4" s="1021"/>
      <c r="I4" s="1021"/>
      <c r="J4" s="1021"/>
      <c r="K4" s="1021"/>
      <c r="L4" s="1021"/>
      <c r="M4" s="1021"/>
      <c r="N4" s="1021"/>
      <c r="O4" s="1021"/>
      <c r="P4" s="1021"/>
      <c r="Q4" s="1021"/>
      <c r="R4" s="1021"/>
      <c r="S4" s="1021"/>
      <c r="T4" s="1021"/>
      <c r="U4" s="1021"/>
      <c r="V4" s="1021"/>
      <c r="W4" s="1021"/>
      <c r="X4" s="1021"/>
      <c r="Y4" s="1021"/>
      <c r="Z4" s="1021"/>
      <c r="AA4" s="1021"/>
      <c r="AB4" s="1021"/>
      <c r="AC4" s="1021"/>
      <c r="AD4" s="1021"/>
      <c r="AE4" s="1021"/>
      <c r="AF4" s="1021"/>
      <c r="AG4" s="1021"/>
      <c r="AH4" s="1021"/>
      <c r="AI4" s="1021"/>
      <c r="AJ4" s="1021"/>
      <c r="AK4" s="1021"/>
      <c r="AL4" s="1021"/>
      <c r="AM4" s="1021"/>
      <c r="AN4" s="1021"/>
      <c r="AO4" s="1021"/>
      <c r="AP4" s="1021"/>
      <c r="AQ4" s="1021"/>
      <c r="AR4" s="1021"/>
      <c r="AS4" s="1021"/>
      <c r="AT4" s="1021"/>
      <c r="AU4" s="1021"/>
      <c r="AV4" s="1021"/>
      <c r="AW4" s="1021"/>
      <c r="AX4" s="1021"/>
      <c r="AY4" s="1021"/>
      <c r="AZ4" s="1021"/>
      <c r="BA4" s="1021"/>
      <c r="BB4" s="1021"/>
      <c r="BC4" s="1021"/>
      <c r="BD4" s="1021"/>
    </row>
    <row r="5" spans="1:150" s="198" customFormat="1" ht="72.75" customHeight="1" thickBot="1" x14ac:dyDescent="0.3">
      <c r="A5" s="1021" t="s">
        <v>4</v>
      </c>
      <c r="B5" s="1021"/>
      <c r="C5" s="1021"/>
      <c r="D5" s="1021"/>
      <c r="E5" s="1021"/>
      <c r="F5" s="1021"/>
      <c r="G5" s="1021"/>
      <c r="H5" s="1021"/>
      <c r="I5" s="1021"/>
      <c r="J5" s="1021"/>
      <c r="K5" s="1021"/>
      <c r="L5" s="1021"/>
      <c r="M5" s="1021"/>
      <c r="N5" s="1021"/>
      <c r="O5" s="1021"/>
      <c r="P5" s="1021"/>
      <c r="Q5" s="1021"/>
      <c r="R5" s="1021"/>
      <c r="S5" s="1021"/>
      <c r="T5" s="1021"/>
      <c r="U5" s="1021"/>
      <c r="V5" s="1021"/>
      <c r="W5" s="1021"/>
      <c r="X5" s="1021"/>
      <c r="Y5" s="1021"/>
      <c r="Z5" s="1021"/>
      <c r="AA5" s="1021"/>
      <c r="AB5" s="1021"/>
      <c r="AC5" s="1021"/>
      <c r="AD5" s="1021"/>
      <c r="AE5" s="1021"/>
      <c r="AF5" s="1021"/>
      <c r="AG5" s="1021"/>
      <c r="AH5" s="1021"/>
      <c r="AI5" s="1021"/>
      <c r="AJ5" s="1021"/>
      <c r="AK5" s="1021"/>
      <c r="AL5" s="1021"/>
      <c r="AM5" s="1021"/>
      <c r="AN5" s="1021"/>
      <c r="AO5" s="1021"/>
      <c r="AP5" s="1021"/>
      <c r="AQ5" s="1021"/>
      <c r="AR5" s="1021"/>
      <c r="AS5" s="1021"/>
      <c r="AT5" s="1021"/>
      <c r="AU5" s="1021"/>
      <c r="AV5" s="1021"/>
      <c r="AW5" s="1021"/>
      <c r="AX5" s="1021"/>
      <c r="AY5" s="1021"/>
      <c r="AZ5" s="1021"/>
      <c r="BA5" s="1021"/>
      <c r="BB5" s="1021"/>
      <c r="BC5" s="1021"/>
      <c r="BD5" s="1021"/>
    </row>
    <row r="6" spans="1:150" s="198" customFormat="1" ht="27" customHeight="1" thickBot="1" x14ac:dyDescent="0.3">
      <c r="A6" s="1014" t="s">
        <v>5</v>
      </c>
      <c r="B6" s="1022" t="s">
        <v>6</v>
      </c>
      <c r="C6" s="1022" t="s">
        <v>7</v>
      </c>
      <c r="D6" s="1014" t="s">
        <v>8</v>
      </c>
      <c r="E6" s="1014" t="s">
        <v>9</v>
      </c>
      <c r="F6" s="1014" t="s">
        <v>10</v>
      </c>
      <c r="G6" s="1011" t="s">
        <v>11</v>
      </c>
      <c r="H6" s="1011" t="s">
        <v>12</v>
      </c>
      <c r="I6" s="1028" t="s">
        <v>13</v>
      </c>
      <c r="J6" s="1011" t="s">
        <v>14</v>
      </c>
      <c r="K6" s="1011" t="s">
        <v>15</v>
      </c>
      <c r="L6" s="1011" t="s">
        <v>16</v>
      </c>
      <c r="M6" s="1011" t="s">
        <v>17</v>
      </c>
      <c r="N6" s="1005" t="s">
        <v>18</v>
      </c>
      <c r="O6" s="1011" t="s">
        <v>19</v>
      </c>
      <c r="P6" s="1014" t="s">
        <v>20</v>
      </c>
      <c r="Q6" s="1014" t="s">
        <v>21</v>
      </c>
      <c r="R6" s="1011" t="s">
        <v>22</v>
      </c>
      <c r="S6" s="1025" t="s">
        <v>23</v>
      </c>
      <c r="T6" s="1005" t="s">
        <v>24</v>
      </c>
      <c r="U6" s="1008" t="s">
        <v>25</v>
      </c>
      <c r="V6" s="1011" t="s">
        <v>26</v>
      </c>
      <c r="W6" s="1011" t="s">
        <v>27</v>
      </c>
      <c r="X6" s="997" t="s">
        <v>28</v>
      </c>
      <c r="Y6" s="1011" t="s">
        <v>29</v>
      </c>
      <c r="Z6" s="997" t="s">
        <v>30</v>
      </c>
      <c r="AA6" s="1000" t="s">
        <v>31</v>
      </c>
      <c r="AB6" s="1000"/>
      <c r="AC6" s="1000"/>
      <c r="AD6" s="1000"/>
      <c r="AE6" s="1000"/>
      <c r="AF6" s="1000"/>
      <c r="AG6" s="1000"/>
      <c r="AH6" s="1000"/>
      <c r="AI6" s="1000"/>
      <c r="AJ6" s="1000"/>
      <c r="AK6" s="1000"/>
      <c r="AL6" s="1000"/>
      <c r="AM6" s="1000"/>
      <c r="AN6" s="1000"/>
      <c r="AO6" s="1000"/>
      <c r="AP6" s="1000"/>
      <c r="AQ6" s="1000"/>
      <c r="AR6" s="1000"/>
      <c r="AS6" s="1000"/>
      <c r="AT6" s="1000"/>
      <c r="AU6" s="1000"/>
      <c r="AV6" s="1000"/>
      <c r="AW6" s="1000"/>
      <c r="AX6" s="1000"/>
      <c r="AY6" s="1000"/>
      <c r="AZ6" s="1000"/>
      <c r="BA6" s="1000"/>
      <c r="BB6" s="1001"/>
      <c r="BC6" s="1002" t="s">
        <v>32</v>
      </c>
      <c r="BD6" s="1011" t="s">
        <v>33</v>
      </c>
      <c r="BX6" s="198">
        <v>1</v>
      </c>
      <c r="BY6" s="198">
        <v>2</v>
      </c>
      <c r="BZ6" s="198">
        <v>3</v>
      </c>
      <c r="CA6" s="198">
        <v>4</v>
      </c>
      <c r="CB6" s="198">
        <v>5</v>
      </c>
      <c r="CC6" s="198">
        <v>6</v>
      </c>
      <c r="CD6" s="198">
        <v>7</v>
      </c>
      <c r="CE6" s="198">
        <v>8</v>
      </c>
      <c r="CF6" s="198">
        <v>9</v>
      </c>
      <c r="CG6" s="198">
        <v>10</v>
      </c>
      <c r="CH6" s="198">
        <v>11</v>
      </c>
      <c r="CI6" s="198">
        <v>12</v>
      </c>
      <c r="CJ6" s="198">
        <v>13</v>
      </c>
      <c r="CK6" s="198">
        <v>14</v>
      </c>
      <c r="CL6" s="198">
        <v>15</v>
      </c>
      <c r="CM6" s="198">
        <v>16</v>
      </c>
      <c r="CN6" s="198">
        <v>17</v>
      </c>
      <c r="CO6" s="198">
        <v>18</v>
      </c>
      <c r="CP6" s="198">
        <v>19</v>
      </c>
      <c r="CQ6" s="198">
        <v>20</v>
      </c>
      <c r="CR6" s="198">
        <v>21</v>
      </c>
      <c r="CS6" s="198">
        <v>22</v>
      </c>
      <c r="CT6" s="198">
        <v>23</v>
      </c>
      <c r="CU6" s="198">
        <v>24</v>
      </c>
      <c r="CV6" s="198">
        <v>25</v>
      </c>
      <c r="CW6" s="198">
        <v>26</v>
      </c>
      <c r="CX6" s="198">
        <v>27</v>
      </c>
      <c r="CY6" s="198">
        <v>28</v>
      </c>
      <c r="CZ6" s="198">
        <v>29</v>
      </c>
      <c r="DA6" s="198">
        <v>30</v>
      </c>
      <c r="DB6" s="198">
        <v>31</v>
      </c>
      <c r="DC6" s="199"/>
      <c r="DD6" s="199"/>
    </row>
    <row r="7" spans="1:150" s="198" customFormat="1" ht="19.5" customHeight="1" thickBot="1" x14ac:dyDescent="0.3">
      <c r="A7" s="1015"/>
      <c r="B7" s="1023"/>
      <c r="C7" s="1023"/>
      <c r="D7" s="1023"/>
      <c r="E7" s="1015"/>
      <c r="F7" s="1015"/>
      <c r="G7" s="1012"/>
      <c r="H7" s="1012"/>
      <c r="I7" s="1029"/>
      <c r="J7" s="1012"/>
      <c r="K7" s="1012"/>
      <c r="L7" s="1012"/>
      <c r="M7" s="1012"/>
      <c r="N7" s="1006"/>
      <c r="O7" s="1012"/>
      <c r="P7" s="1015"/>
      <c r="Q7" s="1015"/>
      <c r="R7" s="1012"/>
      <c r="S7" s="1026"/>
      <c r="T7" s="1006"/>
      <c r="U7" s="1009"/>
      <c r="V7" s="1012"/>
      <c r="W7" s="1012"/>
      <c r="X7" s="998"/>
      <c r="Y7" s="1012"/>
      <c r="Z7" s="998"/>
      <c r="AA7" s="1017">
        <v>2016</v>
      </c>
      <c r="AB7" s="1017"/>
      <c r="AC7" s="1017"/>
      <c r="AD7" s="1017"/>
      <c r="AE7" s="1017"/>
      <c r="AF7" s="1017"/>
      <c r="AG7" s="1018"/>
      <c r="AH7" s="1019">
        <v>2017</v>
      </c>
      <c r="AI7" s="1017"/>
      <c r="AJ7" s="1017"/>
      <c r="AK7" s="1017"/>
      <c r="AL7" s="1017"/>
      <c r="AM7" s="1017"/>
      <c r="AN7" s="1018"/>
      <c r="AO7" s="1019">
        <v>2018</v>
      </c>
      <c r="AP7" s="1017"/>
      <c r="AQ7" s="1017"/>
      <c r="AR7" s="1017"/>
      <c r="AS7" s="1017"/>
      <c r="AT7" s="1017"/>
      <c r="AU7" s="1018"/>
      <c r="AV7" s="1019">
        <v>2019</v>
      </c>
      <c r="AW7" s="1017"/>
      <c r="AX7" s="1017"/>
      <c r="AY7" s="1017"/>
      <c r="AZ7" s="1017"/>
      <c r="BA7" s="1017"/>
      <c r="BB7" s="1018"/>
      <c r="BC7" s="1003"/>
      <c r="BD7" s="1012"/>
      <c r="BF7" s="198">
        <v>1</v>
      </c>
      <c r="BG7" s="198">
        <v>2</v>
      </c>
      <c r="BI7" s="198">
        <v>1</v>
      </c>
      <c r="BJ7" s="198">
        <v>2</v>
      </c>
      <c r="BK7" s="198">
        <v>3</v>
      </c>
      <c r="BL7" s="198">
        <v>4</v>
      </c>
      <c r="BN7" s="198">
        <v>1</v>
      </c>
      <c r="BO7" s="198">
        <v>2</v>
      </c>
      <c r="BP7" s="198">
        <v>3</v>
      </c>
      <c r="BQ7" s="198">
        <v>4</v>
      </c>
      <c r="BS7" s="202">
        <v>1</v>
      </c>
      <c r="BT7" s="202">
        <v>2</v>
      </c>
      <c r="BU7" s="202">
        <v>3</v>
      </c>
      <c r="BV7" s="202">
        <v>4</v>
      </c>
      <c r="BZ7" s="198">
        <v>2016</v>
      </c>
      <c r="CG7" s="198">
        <v>2017</v>
      </c>
      <c r="CN7" s="198">
        <v>2018</v>
      </c>
      <c r="CU7" s="198">
        <v>2019</v>
      </c>
      <c r="DB7" s="198" t="s">
        <v>34</v>
      </c>
      <c r="DC7" s="198">
        <v>1</v>
      </c>
      <c r="DD7" s="198">
        <v>2</v>
      </c>
      <c r="DE7" s="198">
        <v>3</v>
      </c>
      <c r="DF7" s="198">
        <v>4</v>
      </c>
      <c r="DH7" s="198">
        <v>1</v>
      </c>
      <c r="DI7" s="198">
        <v>2</v>
      </c>
      <c r="DJ7" s="198">
        <v>3</v>
      </c>
      <c r="DK7" s="198">
        <v>4</v>
      </c>
      <c r="DL7" s="198">
        <v>5</v>
      </c>
      <c r="DN7" s="198">
        <v>1</v>
      </c>
      <c r="DO7" s="198">
        <v>2</v>
      </c>
      <c r="DQ7" s="198">
        <v>1</v>
      </c>
      <c r="DR7" s="198">
        <v>2</v>
      </c>
      <c r="DT7" s="198">
        <v>1</v>
      </c>
      <c r="DU7" s="198">
        <v>2</v>
      </c>
      <c r="DV7" s="198">
        <v>3</v>
      </c>
      <c r="DW7" s="198">
        <v>4</v>
      </c>
      <c r="DX7" s="198">
        <v>5</v>
      </c>
      <c r="DY7" s="198">
        <v>6</v>
      </c>
      <c r="DZ7" s="198">
        <v>7</v>
      </c>
      <c r="EB7" s="203">
        <v>1</v>
      </c>
      <c r="EC7" s="203">
        <v>2</v>
      </c>
      <c r="ED7" s="203">
        <v>3</v>
      </c>
      <c r="EE7" s="203">
        <v>4</v>
      </c>
      <c r="EF7" s="203">
        <v>5</v>
      </c>
      <c r="EG7" s="203">
        <v>6</v>
      </c>
      <c r="EH7" s="203">
        <v>7</v>
      </c>
      <c r="EI7" s="203">
        <v>8</v>
      </c>
      <c r="EJ7" s="203">
        <v>9</v>
      </c>
      <c r="EL7" s="811">
        <v>1</v>
      </c>
      <c r="EM7" s="811">
        <v>2</v>
      </c>
      <c r="EN7" s="811">
        <v>3</v>
      </c>
      <c r="EO7" s="811">
        <v>4</v>
      </c>
      <c r="EP7" s="811">
        <v>5</v>
      </c>
      <c r="EQ7" s="811">
        <v>6</v>
      </c>
      <c r="ER7" s="811">
        <v>7</v>
      </c>
      <c r="ES7" s="811">
        <v>8</v>
      </c>
      <c r="ET7" s="811">
        <v>9</v>
      </c>
    </row>
    <row r="8" spans="1:150" s="212" customFormat="1" ht="78" customHeight="1" thickBot="1" x14ac:dyDescent="0.25">
      <c r="A8" s="1016"/>
      <c r="B8" s="1024"/>
      <c r="C8" s="1024"/>
      <c r="D8" s="1024"/>
      <c r="E8" s="1016"/>
      <c r="F8" s="1016"/>
      <c r="G8" s="1013"/>
      <c r="H8" s="1013"/>
      <c r="I8" s="1030"/>
      <c r="J8" s="1013"/>
      <c r="K8" s="1013"/>
      <c r="L8" s="1013"/>
      <c r="M8" s="1013"/>
      <c r="N8" s="1007"/>
      <c r="O8" s="1013"/>
      <c r="P8" s="1016"/>
      <c r="Q8" s="1016"/>
      <c r="R8" s="1013"/>
      <c r="S8" s="1027"/>
      <c r="T8" s="1007"/>
      <c r="U8" s="1010"/>
      <c r="V8" s="1012"/>
      <c r="W8" s="1013"/>
      <c r="X8" s="999"/>
      <c r="Y8" s="1013"/>
      <c r="Z8" s="999"/>
      <c r="AA8" s="205" t="s">
        <v>35</v>
      </c>
      <c r="AB8" s="206" t="s">
        <v>36</v>
      </c>
      <c r="AC8" s="206" t="s">
        <v>37</v>
      </c>
      <c r="AD8" s="206" t="s">
        <v>38</v>
      </c>
      <c r="AE8" s="206" t="s">
        <v>39</v>
      </c>
      <c r="AF8" s="207" t="s">
        <v>40</v>
      </c>
      <c r="AG8" s="208" t="s">
        <v>41</v>
      </c>
      <c r="AH8" s="205" t="s">
        <v>35</v>
      </c>
      <c r="AI8" s="206" t="s">
        <v>36</v>
      </c>
      <c r="AJ8" s="206" t="s">
        <v>37</v>
      </c>
      <c r="AK8" s="206" t="s">
        <v>38</v>
      </c>
      <c r="AL8" s="206" t="s">
        <v>39</v>
      </c>
      <c r="AM8" s="206" t="s">
        <v>40</v>
      </c>
      <c r="AN8" s="209" t="s">
        <v>42</v>
      </c>
      <c r="AO8" s="210" t="s">
        <v>35</v>
      </c>
      <c r="AP8" s="206" t="s">
        <v>36</v>
      </c>
      <c r="AQ8" s="206" t="s">
        <v>37</v>
      </c>
      <c r="AR8" s="206" t="s">
        <v>38</v>
      </c>
      <c r="AS8" s="206" t="s">
        <v>39</v>
      </c>
      <c r="AT8" s="206" t="s">
        <v>40</v>
      </c>
      <c r="AU8" s="211" t="s">
        <v>43</v>
      </c>
      <c r="AV8" s="210" t="s">
        <v>35</v>
      </c>
      <c r="AW8" s="206" t="s">
        <v>36</v>
      </c>
      <c r="AX8" s="206" t="s">
        <v>37</v>
      </c>
      <c r="AY8" s="206" t="s">
        <v>38</v>
      </c>
      <c r="AZ8" s="206" t="s">
        <v>39</v>
      </c>
      <c r="BA8" s="206" t="s">
        <v>40</v>
      </c>
      <c r="BB8" s="211" t="s">
        <v>44</v>
      </c>
      <c r="BC8" s="1004"/>
      <c r="BD8" s="1013"/>
      <c r="BF8" s="213" t="s">
        <v>5</v>
      </c>
      <c r="BG8" s="214" t="s">
        <v>6</v>
      </c>
      <c r="BI8" s="215" t="s">
        <v>5</v>
      </c>
      <c r="BJ8" s="216" t="s">
        <v>6</v>
      </c>
      <c r="BK8" s="217" t="s">
        <v>10</v>
      </c>
      <c r="BL8" s="218" t="s">
        <v>11</v>
      </c>
      <c r="BN8" s="219" t="s">
        <v>10</v>
      </c>
      <c r="BO8" s="220" t="s">
        <v>11</v>
      </c>
      <c r="BP8" s="219" t="s">
        <v>15</v>
      </c>
      <c r="BQ8" s="221" t="s">
        <v>16</v>
      </c>
      <c r="BS8" s="222" t="s">
        <v>15</v>
      </c>
      <c r="BT8" s="222" t="s">
        <v>45</v>
      </c>
      <c r="BU8" s="223" t="s">
        <v>46</v>
      </c>
      <c r="BV8" s="223" t="s">
        <v>22</v>
      </c>
      <c r="BX8" s="212" t="s">
        <v>10</v>
      </c>
      <c r="BY8" s="212" t="s">
        <v>11</v>
      </c>
      <c r="BZ8" s="212" t="s">
        <v>35</v>
      </c>
      <c r="CA8" s="212" t="s">
        <v>36</v>
      </c>
      <c r="CB8" s="212" t="s">
        <v>37</v>
      </c>
      <c r="CC8" s="212" t="s">
        <v>38</v>
      </c>
      <c r="CD8" s="212" t="s">
        <v>39</v>
      </c>
      <c r="CE8" s="212" t="s">
        <v>40</v>
      </c>
      <c r="CF8" s="212" t="s">
        <v>41</v>
      </c>
      <c r="CG8" s="212" t="s">
        <v>35</v>
      </c>
      <c r="CH8" s="212" t="s">
        <v>36</v>
      </c>
      <c r="CI8" s="212" t="s">
        <v>37</v>
      </c>
      <c r="CJ8" s="212" t="s">
        <v>38</v>
      </c>
      <c r="CK8" s="212" t="s">
        <v>39</v>
      </c>
      <c r="CL8" s="212" t="s">
        <v>40</v>
      </c>
      <c r="CM8" s="212" t="s">
        <v>42</v>
      </c>
      <c r="CN8" s="212" t="s">
        <v>35</v>
      </c>
      <c r="CO8" s="212" t="s">
        <v>36</v>
      </c>
      <c r="CP8" s="212" t="s">
        <v>37</v>
      </c>
      <c r="CQ8" s="212" t="s">
        <v>38</v>
      </c>
      <c r="CR8" s="212" t="s">
        <v>39</v>
      </c>
      <c r="CS8" s="212" t="s">
        <v>40</v>
      </c>
      <c r="CT8" s="212" t="s">
        <v>43</v>
      </c>
      <c r="CU8" s="212" t="s">
        <v>35</v>
      </c>
      <c r="CV8" s="212" t="s">
        <v>36</v>
      </c>
      <c r="CW8" s="212" t="s">
        <v>37</v>
      </c>
      <c r="CX8" s="212" t="s">
        <v>38</v>
      </c>
      <c r="CY8" s="212" t="s">
        <v>39</v>
      </c>
      <c r="CZ8" s="212" t="s">
        <v>40</v>
      </c>
      <c r="DA8" s="212" t="s">
        <v>44</v>
      </c>
      <c r="DC8" s="197" t="s">
        <v>47</v>
      </c>
      <c r="DD8" s="197" t="s">
        <v>48</v>
      </c>
      <c r="DE8" s="197" t="s">
        <v>49</v>
      </c>
      <c r="DF8" s="197" t="s">
        <v>50</v>
      </c>
      <c r="DG8" s="201"/>
      <c r="DH8" s="197" t="s">
        <v>51</v>
      </c>
      <c r="DI8" s="197" t="s">
        <v>48</v>
      </c>
      <c r="DJ8" s="197" t="s">
        <v>49</v>
      </c>
      <c r="DK8" s="197" t="s">
        <v>50</v>
      </c>
      <c r="DL8" s="197" t="s">
        <v>52</v>
      </c>
      <c r="DN8" s="224" t="s">
        <v>15</v>
      </c>
      <c r="DO8" s="225" t="s">
        <v>16</v>
      </c>
      <c r="DP8" s="226"/>
      <c r="DQ8" s="225" t="s">
        <v>46</v>
      </c>
      <c r="DR8" s="225" t="s">
        <v>22</v>
      </c>
      <c r="DT8" s="224" t="s">
        <v>15</v>
      </c>
      <c r="DU8" s="197" t="s">
        <v>47</v>
      </c>
      <c r="DV8" s="197" t="s">
        <v>48</v>
      </c>
      <c r="DW8" s="197" t="s">
        <v>1782</v>
      </c>
      <c r="DX8" s="197" t="s">
        <v>1779</v>
      </c>
      <c r="DY8" s="197" t="s">
        <v>49</v>
      </c>
      <c r="DZ8" s="197" t="s">
        <v>50</v>
      </c>
      <c r="EB8" s="227" t="s">
        <v>15</v>
      </c>
      <c r="EC8" s="227" t="s">
        <v>16</v>
      </c>
      <c r="ED8" s="227" t="s">
        <v>17</v>
      </c>
      <c r="EE8" s="227" t="s">
        <v>18</v>
      </c>
      <c r="EF8" s="227" t="s">
        <v>19</v>
      </c>
      <c r="EG8" s="228" t="s">
        <v>27</v>
      </c>
      <c r="EH8" s="228" t="s">
        <v>28</v>
      </c>
      <c r="EI8" s="228" t="s">
        <v>29</v>
      </c>
      <c r="EJ8" s="228" t="s">
        <v>30</v>
      </c>
      <c r="EL8" s="812" t="s">
        <v>21</v>
      </c>
      <c r="EM8" s="813" t="s">
        <v>22</v>
      </c>
      <c r="EN8" s="813" t="s">
        <v>23</v>
      </c>
      <c r="EO8" s="813" t="s">
        <v>24</v>
      </c>
      <c r="EP8" s="814" t="s">
        <v>25</v>
      </c>
      <c r="EQ8" s="813" t="s">
        <v>1947</v>
      </c>
      <c r="ER8" s="813" t="s">
        <v>1948</v>
      </c>
      <c r="ES8" s="813" t="s">
        <v>1949</v>
      </c>
      <c r="ET8" s="815" t="s">
        <v>1950</v>
      </c>
    </row>
    <row r="9" spans="1:150" ht="112.5" customHeight="1" x14ac:dyDescent="0.2">
      <c r="A9" s="229" t="s">
        <v>53</v>
      </c>
      <c r="B9" s="230" t="s">
        <v>54</v>
      </c>
      <c r="C9" s="231" t="s">
        <v>55</v>
      </c>
      <c r="D9" s="232" t="s">
        <v>56</v>
      </c>
      <c r="E9" s="3" t="s">
        <v>57</v>
      </c>
      <c r="F9" s="233" t="str">
        <f>+CONCATENATE(A9,E9)</f>
        <v>E1.P_A</v>
      </c>
      <c r="G9" s="234" t="s">
        <v>58</v>
      </c>
      <c r="H9" s="235" t="s">
        <v>59</v>
      </c>
      <c r="I9" s="236" t="s">
        <v>60</v>
      </c>
      <c r="J9" s="237" t="s">
        <v>61</v>
      </c>
      <c r="K9" s="238" t="str">
        <f>+CONCATENATE(F9,".",J9)</f>
        <v>E1.P_A.MR1</v>
      </c>
      <c r="L9" s="239" t="s">
        <v>62</v>
      </c>
      <c r="M9" s="240" t="s">
        <v>63</v>
      </c>
      <c r="N9" s="241">
        <v>0</v>
      </c>
      <c r="O9" s="242">
        <v>0.1</v>
      </c>
      <c r="P9" s="243" t="s">
        <v>64</v>
      </c>
      <c r="Q9" s="243" t="str">
        <f>+CONCATENATE(K9,"-",P9)</f>
        <v>E1.P_A.MR1-MP01-1</v>
      </c>
      <c r="R9" s="244" t="s">
        <v>65</v>
      </c>
      <c r="S9" s="245" t="s">
        <v>66</v>
      </c>
      <c r="T9" s="246">
        <v>0</v>
      </c>
      <c r="U9" s="247">
        <v>0.3</v>
      </c>
      <c r="V9" s="248" t="s">
        <v>67</v>
      </c>
      <c r="W9" s="249">
        <v>0</v>
      </c>
      <c r="X9" s="250">
        <v>0.1</v>
      </c>
      <c r="Y9" s="251">
        <v>0.1</v>
      </c>
      <c r="Z9" s="252">
        <v>0.1</v>
      </c>
      <c r="AA9" s="253">
        <f>300000001+1900000000+5000000+100000000+1870000000+60000000+50000000+22000000+300000000+200000000+130000000+430000000+1328477+100000000-1684614000-28800153</f>
        <v>3754914325</v>
      </c>
      <c r="AB9" s="254">
        <f>399001658+30000+588865084+107188933</f>
        <v>1095085675</v>
      </c>
      <c r="AC9" s="254">
        <v>200000000</v>
      </c>
      <c r="AD9" s="254"/>
      <c r="AE9" s="254"/>
      <c r="AF9" s="254"/>
      <c r="AG9" s="254">
        <f>SUM(AA9:AF9)</f>
        <v>5050000000</v>
      </c>
      <c r="AH9" s="254">
        <f t="shared" ref="AH9:AT9" si="0">+AA9</f>
        <v>3754914325</v>
      </c>
      <c r="AI9" s="254">
        <f t="shared" si="0"/>
        <v>1095085675</v>
      </c>
      <c r="AJ9" s="254">
        <f t="shared" si="0"/>
        <v>200000000</v>
      </c>
      <c r="AK9" s="254">
        <f t="shared" si="0"/>
        <v>0</v>
      </c>
      <c r="AL9" s="254">
        <f t="shared" si="0"/>
        <v>0</v>
      </c>
      <c r="AM9" s="254">
        <f t="shared" si="0"/>
        <v>0</v>
      </c>
      <c r="AN9" s="254">
        <f t="shared" si="0"/>
        <v>5050000000</v>
      </c>
      <c r="AO9" s="254">
        <f t="shared" si="0"/>
        <v>3754914325</v>
      </c>
      <c r="AP9" s="254">
        <f t="shared" si="0"/>
        <v>1095085675</v>
      </c>
      <c r="AQ9" s="254">
        <f t="shared" si="0"/>
        <v>200000000</v>
      </c>
      <c r="AR9" s="254">
        <f t="shared" si="0"/>
        <v>0</v>
      </c>
      <c r="AS9" s="254">
        <f t="shared" si="0"/>
        <v>0</v>
      </c>
      <c r="AT9" s="254">
        <f t="shared" si="0"/>
        <v>0</v>
      </c>
      <c r="AU9" s="254">
        <f t="shared" ref="AU9" si="1">SUM(AO9:AT9)</f>
        <v>5050000000</v>
      </c>
      <c r="AV9" s="254">
        <f>+AO9</f>
        <v>3754914325</v>
      </c>
      <c r="AW9" s="254">
        <f t="shared" ref="AW9:BA9" si="2">+AP9</f>
        <v>1095085675</v>
      </c>
      <c r="AX9" s="254">
        <f t="shared" si="2"/>
        <v>200000000</v>
      </c>
      <c r="AY9" s="254">
        <f t="shared" si="2"/>
        <v>0</v>
      </c>
      <c r="AZ9" s="254">
        <f t="shared" si="2"/>
        <v>0</v>
      </c>
      <c r="BA9" s="254">
        <f t="shared" si="2"/>
        <v>0</v>
      </c>
      <c r="BB9" s="254">
        <f>SUM(AV9:BA9)</f>
        <v>5050000000</v>
      </c>
      <c r="BC9" s="255">
        <f t="shared" ref="BC9" si="3">+BB9+AU9+AN9+AG9</f>
        <v>20200000000</v>
      </c>
      <c r="BD9" s="256" t="s">
        <v>68</v>
      </c>
      <c r="BF9" s="257" t="s">
        <v>53</v>
      </c>
      <c r="BG9" s="258" t="s">
        <v>54</v>
      </c>
      <c r="BI9" s="259" t="s">
        <v>53</v>
      </c>
      <c r="BJ9" s="260" t="s">
        <v>54</v>
      </c>
      <c r="BK9" s="4" t="s">
        <v>69</v>
      </c>
      <c r="BL9" s="261" t="s">
        <v>58</v>
      </c>
      <c r="BN9" s="5" t="s">
        <v>69</v>
      </c>
      <c r="BO9" s="262" t="s">
        <v>58</v>
      </c>
      <c r="BP9" s="6" t="s">
        <v>70</v>
      </c>
      <c r="BQ9" s="263" t="s">
        <v>62</v>
      </c>
      <c r="BS9" s="264" t="s">
        <v>73</v>
      </c>
      <c r="BT9" s="264" t="s">
        <v>73</v>
      </c>
      <c r="BU9" s="264" t="s">
        <v>73</v>
      </c>
      <c r="BV9" s="264"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64" t="s">
        <v>73</v>
      </c>
      <c r="EC9" s="264" t="s">
        <v>73</v>
      </c>
      <c r="ED9" s="264" t="s">
        <v>73</v>
      </c>
      <c r="EE9" s="265" t="s">
        <v>73</v>
      </c>
      <c r="EF9" s="266" t="s">
        <v>73</v>
      </c>
      <c r="EG9" s="264"/>
      <c r="EH9" s="264"/>
      <c r="EI9" s="264"/>
      <c r="EJ9" s="264"/>
      <c r="EL9" s="816" t="s">
        <v>71</v>
      </c>
      <c r="EM9" s="817" t="s">
        <v>65</v>
      </c>
      <c r="EN9" s="267" t="s">
        <v>1891</v>
      </c>
      <c r="EO9" s="268">
        <v>0</v>
      </c>
      <c r="EP9" s="269">
        <v>30</v>
      </c>
      <c r="EQ9" s="269">
        <v>0</v>
      </c>
      <c r="ER9" s="809">
        <v>0</v>
      </c>
      <c r="ES9" s="809">
        <v>0</v>
      </c>
      <c r="ET9" s="818">
        <v>30</v>
      </c>
    </row>
    <row r="10" spans="1:150" ht="93.75" customHeight="1" x14ac:dyDescent="0.25">
      <c r="A10" s="271" t="s">
        <v>53</v>
      </c>
      <c r="B10" s="272" t="s">
        <v>54</v>
      </c>
      <c r="C10" s="273" t="s">
        <v>55</v>
      </c>
      <c r="D10" s="274"/>
      <c r="E10" s="8" t="s">
        <v>57</v>
      </c>
      <c r="F10" s="275" t="str">
        <f t="shared" ref="F10:F73" si="4">+CONCATENATE(A10,E10)</f>
        <v>E1.P_A</v>
      </c>
      <c r="G10" s="276" t="s">
        <v>58</v>
      </c>
      <c r="H10" s="276" t="s">
        <v>59</v>
      </c>
      <c r="I10" s="277"/>
      <c r="J10" s="278" t="s">
        <v>61</v>
      </c>
      <c r="K10" s="279" t="str">
        <f t="shared" ref="K10:K73" si="5">+CONCATENATE(F10,".",J10)</f>
        <v>E1.P_A.MR1</v>
      </c>
      <c r="L10" s="280" t="s">
        <v>62</v>
      </c>
      <c r="M10" s="281" t="s">
        <v>63</v>
      </c>
      <c r="N10" s="282">
        <v>0</v>
      </c>
      <c r="O10" s="283">
        <v>0.1</v>
      </c>
      <c r="P10" s="284" t="s">
        <v>74</v>
      </c>
      <c r="Q10" s="284" t="str">
        <f t="shared" ref="Q10:Q73" si="6">+CONCATENATE(K10,"-",P10)</f>
        <v>E1.P_A.MR1-MP01-2</v>
      </c>
      <c r="R10" s="285" t="s">
        <v>65</v>
      </c>
      <c r="S10" s="286" t="s">
        <v>75</v>
      </c>
      <c r="T10" s="287">
        <v>0</v>
      </c>
      <c r="U10" s="288">
        <v>1</v>
      </c>
      <c r="V10" s="287" t="s">
        <v>67</v>
      </c>
      <c r="W10" s="289">
        <v>0</v>
      </c>
      <c r="X10" s="290">
        <v>30</v>
      </c>
      <c r="Y10" s="289">
        <v>40</v>
      </c>
      <c r="Z10" s="291">
        <v>30</v>
      </c>
      <c r="AA10" s="292"/>
      <c r="AB10" s="293"/>
      <c r="AC10" s="293"/>
      <c r="AD10" s="293"/>
      <c r="AE10" s="293"/>
      <c r="AF10" s="293"/>
      <c r="AG10" s="293"/>
      <c r="AH10" s="293"/>
      <c r="AI10" s="293"/>
      <c r="AJ10" s="293"/>
      <c r="AK10" s="293"/>
      <c r="AL10" s="293"/>
      <c r="AM10" s="293"/>
      <c r="AN10" s="293"/>
      <c r="AO10" s="293"/>
      <c r="AP10" s="293"/>
      <c r="AQ10" s="293"/>
      <c r="AR10" s="293"/>
      <c r="AS10" s="293"/>
      <c r="AT10" s="293"/>
      <c r="AU10" s="293"/>
      <c r="AV10" s="293"/>
      <c r="AW10" s="293"/>
      <c r="AX10" s="293"/>
      <c r="AY10" s="293"/>
      <c r="AZ10" s="293"/>
      <c r="BA10" s="293"/>
      <c r="BB10" s="293"/>
      <c r="BC10" s="294"/>
      <c r="BD10" s="295" t="s">
        <v>68</v>
      </c>
      <c r="BF10" s="257" t="s">
        <v>76</v>
      </c>
      <c r="BG10" s="258" t="s">
        <v>77</v>
      </c>
      <c r="BI10" s="296"/>
      <c r="BJ10" s="297"/>
      <c r="BK10" s="9" t="s">
        <v>78</v>
      </c>
      <c r="BL10" s="298" t="s">
        <v>79</v>
      </c>
      <c r="BN10" s="10" t="s">
        <v>69</v>
      </c>
      <c r="BO10" s="299" t="s">
        <v>58</v>
      </c>
      <c r="BP10" s="11" t="s">
        <v>80</v>
      </c>
      <c r="BQ10" s="300" t="s">
        <v>81</v>
      </c>
      <c r="BS10" s="84" t="s">
        <v>70</v>
      </c>
      <c r="BT10" s="84" t="s">
        <v>62</v>
      </c>
      <c r="BU10" s="85" t="s">
        <v>71</v>
      </c>
      <c r="BV10" s="84"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1" t="s">
        <v>70</v>
      </c>
      <c r="EC10" s="302" t="s">
        <v>62</v>
      </c>
      <c r="ED10" s="303" t="s">
        <v>63</v>
      </c>
      <c r="EE10" s="304">
        <v>0</v>
      </c>
      <c r="EF10" s="305">
        <v>10</v>
      </c>
      <c r="EG10" s="264"/>
      <c r="EH10" s="264"/>
      <c r="EI10" s="264"/>
      <c r="EJ10" s="264"/>
      <c r="EL10" s="816" t="s">
        <v>82</v>
      </c>
      <c r="EM10" s="817" t="s">
        <v>65</v>
      </c>
      <c r="EN10" s="267" t="s">
        <v>75</v>
      </c>
      <c r="EO10" s="268">
        <v>0</v>
      </c>
      <c r="EP10" s="804">
        <v>1</v>
      </c>
      <c r="EQ10" s="803">
        <v>0</v>
      </c>
      <c r="ER10" s="809">
        <v>0</v>
      </c>
      <c r="ES10" s="809">
        <v>0</v>
      </c>
      <c r="ET10" s="818">
        <v>1</v>
      </c>
    </row>
    <row r="11" spans="1:150" ht="46.5" customHeight="1" x14ac:dyDescent="0.25">
      <c r="A11" s="271" t="s">
        <v>53</v>
      </c>
      <c r="B11" s="272" t="s">
        <v>54</v>
      </c>
      <c r="C11" s="273" t="s">
        <v>55</v>
      </c>
      <c r="D11" s="274"/>
      <c r="E11" s="8" t="s">
        <v>57</v>
      </c>
      <c r="F11" s="275" t="str">
        <f t="shared" si="4"/>
        <v>E1.P_A</v>
      </c>
      <c r="G11" s="276" t="s">
        <v>58</v>
      </c>
      <c r="H11" s="276" t="s">
        <v>59</v>
      </c>
      <c r="I11" s="277"/>
      <c r="J11" s="278" t="s">
        <v>61</v>
      </c>
      <c r="K11" s="279" t="str">
        <f t="shared" si="5"/>
        <v>E1.P_A.MR1</v>
      </c>
      <c r="L11" s="280" t="s">
        <v>62</v>
      </c>
      <c r="M11" s="281" t="s">
        <v>63</v>
      </c>
      <c r="N11" s="282">
        <v>0</v>
      </c>
      <c r="O11" s="283">
        <v>0.1</v>
      </c>
      <c r="P11" s="306" t="s">
        <v>87</v>
      </c>
      <c r="Q11" s="284" t="str">
        <f t="shared" si="6"/>
        <v>E1.P_A.MR1-MP02-1</v>
      </c>
      <c r="R11" s="307" t="s">
        <v>88</v>
      </c>
      <c r="S11" s="308" t="s">
        <v>89</v>
      </c>
      <c r="T11" s="287">
        <v>1</v>
      </c>
      <c r="U11" s="288">
        <v>2</v>
      </c>
      <c r="V11" s="287" t="s">
        <v>67</v>
      </c>
      <c r="W11" s="289">
        <v>0</v>
      </c>
      <c r="X11" s="290">
        <v>1</v>
      </c>
      <c r="Y11" s="309">
        <v>0.5</v>
      </c>
      <c r="Z11" s="310">
        <v>0.5</v>
      </c>
      <c r="AA11" s="292"/>
      <c r="AB11" s="293"/>
      <c r="AC11" s="293"/>
      <c r="AD11" s="293"/>
      <c r="AE11" s="293"/>
      <c r="AF11" s="293"/>
      <c r="AG11" s="293"/>
      <c r="AH11" s="293"/>
      <c r="AI11" s="293"/>
      <c r="AJ11" s="293"/>
      <c r="AK11" s="293"/>
      <c r="AL11" s="293"/>
      <c r="AM11" s="293"/>
      <c r="AN11" s="293"/>
      <c r="AO11" s="293"/>
      <c r="AP11" s="293"/>
      <c r="AQ11" s="293"/>
      <c r="AR11" s="293"/>
      <c r="AS11" s="293"/>
      <c r="AT11" s="293"/>
      <c r="AU11" s="293"/>
      <c r="AV11" s="293"/>
      <c r="AW11" s="293"/>
      <c r="AX11" s="293"/>
      <c r="AY11" s="293"/>
      <c r="AZ11" s="293"/>
      <c r="BA11" s="293"/>
      <c r="BB11" s="293"/>
      <c r="BC11" s="294"/>
      <c r="BD11" s="295" t="s">
        <v>68</v>
      </c>
      <c r="BF11" s="257" t="s">
        <v>90</v>
      </c>
      <c r="BG11" s="258" t="s">
        <v>91</v>
      </c>
      <c r="BI11" s="296"/>
      <c r="BJ11" s="297"/>
      <c r="BK11" s="9" t="s">
        <v>92</v>
      </c>
      <c r="BL11" s="298" t="s">
        <v>93</v>
      </c>
      <c r="BN11" s="10" t="s">
        <v>69</v>
      </c>
      <c r="BO11" s="299" t="s">
        <v>58</v>
      </c>
      <c r="BP11" s="11" t="s">
        <v>94</v>
      </c>
      <c r="BQ11" s="300" t="s">
        <v>95</v>
      </c>
      <c r="BS11" s="86" t="s">
        <v>70</v>
      </c>
      <c r="BT11" s="86" t="s">
        <v>62</v>
      </c>
      <c r="BU11" s="85" t="s">
        <v>82</v>
      </c>
      <c r="BV11" s="84"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1" t="s">
        <v>70</v>
      </c>
      <c r="EC11" s="311" t="s">
        <v>155</v>
      </c>
      <c r="ED11" s="311" t="s">
        <v>63</v>
      </c>
      <c r="EE11" s="304">
        <v>0</v>
      </c>
      <c r="EF11" s="305">
        <v>10</v>
      </c>
      <c r="EG11" s="264"/>
      <c r="EH11" s="264"/>
      <c r="EI11" s="264"/>
      <c r="EJ11" s="264"/>
      <c r="EL11" s="816" t="s">
        <v>96</v>
      </c>
      <c r="EM11" s="312" t="s">
        <v>88</v>
      </c>
      <c r="EN11" s="268" t="s">
        <v>89</v>
      </c>
      <c r="EO11" s="268">
        <v>1</v>
      </c>
      <c r="EP11" s="268">
        <v>2</v>
      </c>
      <c r="EQ11" s="269">
        <v>0</v>
      </c>
      <c r="ER11" s="809">
        <v>0.5</v>
      </c>
      <c r="ES11" s="270">
        <v>0.5</v>
      </c>
      <c r="ET11" s="818">
        <v>1</v>
      </c>
    </row>
    <row r="12" spans="1:150" ht="78" customHeight="1" thickBot="1" x14ac:dyDescent="0.3">
      <c r="A12" s="271" t="s">
        <v>53</v>
      </c>
      <c r="B12" s="272" t="s">
        <v>54</v>
      </c>
      <c r="C12" s="273" t="s">
        <v>55</v>
      </c>
      <c r="D12" s="274"/>
      <c r="E12" s="8" t="s">
        <v>57</v>
      </c>
      <c r="F12" s="275" t="str">
        <f t="shared" si="4"/>
        <v>E1.P_A</v>
      </c>
      <c r="G12" s="276" t="s">
        <v>58</v>
      </c>
      <c r="H12" s="276" t="s">
        <v>59</v>
      </c>
      <c r="I12" s="277"/>
      <c r="J12" s="278" t="s">
        <v>61</v>
      </c>
      <c r="K12" s="279" t="str">
        <f t="shared" si="5"/>
        <v>E1.P_A.MR1</v>
      </c>
      <c r="L12" s="280" t="s">
        <v>62</v>
      </c>
      <c r="M12" s="281" t="s">
        <v>63</v>
      </c>
      <c r="N12" s="282">
        <v>0</v>
      </c>
      <c r="O12" s="283">
        <v>0.1</v>
      </c>
      <c r="P12" s="306" t="s">
        <v>99</v>
      </c>
      <c r="Q12" s="284" t="str">
        <f t="shared" si="6"/>
        <v>E1.P_A.MR1-MP03-1</v>
      </c>
      <c r="R12" s="307" t="s">
        <v>100</v>
      </c>
      <c r="S12" s="308" t="s">
        <v>101</v>
      </c>
      <c r="T12" s="313">
        <v>0.98</v>
      </c>
      <c r="U12" s="314">
        <v>0.98</v>
      </c>
      <c r="V12" s="313" t="s">
        <v>102</v>
      </c>
      <c r="W12" s="315">
        <v>0.98</v>
      </c>
      <c r="X12" s="316">
        <v>0.98</v>
      </c>
      <c r="Y12" s="315">
        <v>0.98</v>
      </c>
      <c r="Z12" s="317">
        <v>0.98</v>
      </c>
      <c r="AA12" s="318"/>
      <c r="AB12" s="319"/>
      <c r="AC12" s="319"/>
      <c r="AD12" s="319"/>
      <c r="AE12" s="319"/>
      <c r="AF12" s="319"/>
      <c r="AG12" s="319"/>
      <c r="AH12" s="319"/>
      <c r="AI12" s="319"/>
      <c r="AJ12" s="319"/>
      <c r="AK12" s="319"/>
      <c r="AL12" s="319"/>
      <c r="AM12" s="319"/>
      <c r="AN12" s="319"/>
      <c r="AO12" s="319"/>
      <c r="AP12" s="319"/>
      <c r="AQ12" s="319"/>
      <c r="AR12" s="319"/>
      <c r="AS12" s="319"/>
      <c r="AT12" s="319"/>
      <c r="AU12" s="319"/>
      <c r="AV12" s="319"/>
      <c r="AW12" s="319"/>
      <c r="AX12" s="319"/>
      <c r="AY12" s="319"/>
      <c r="AZ12" s="319"/>
      <c r="BA12" s="319"/>
      <c r="BB12" s="319"/>
      <c r="BC12" s="320"/>
      <c r="BD12" s="295" t="s">
        <v>68</v>
      </c>
      <c r="BF12" s="321" t="s">
        <v>103</v>
      </c>
      <c r="BG12" s="322" t="s">
        <v>104</v>
      </c>
      <c r="BI12" s="296"/>
      <c r="BJ12" s="297"/>
      <c r="BK12" s="9" t="s">
        <v>105</v>
      </c>
      <c r="BL12" s="298" t="s">
        <v>106</v>
      </c>
      <c r="BN12" s="10" t="s">
        <v>69</v>
      </c>
      <c r="BO12" s="299" t="s">
        <v>58</v>
      </c>
      <c r="BP12" s="11" t="s">
        <v>107</v>
      </c>
      <c r="BQ12" s="300" t="s">
        <v>108</v>
      </c>
      <c r="BS12" s="86" t="s">
        <v>70</v>
      </c>
      <c r="BT12" s="86" t="s">
        <v>62</v>
      </c>
      <c r="BU12" s="85" t="s">
        <v>96</v>
      </c>
      <c r="BV12" s="84"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1" t="s">
        <v>80</v>
      </c>
      <c r="EC12" s="302" t="s">
        <v>81</v>
      </c>
      <c r="ED12" s="303" t="s">
        <v>168</v>
      </c>
      <c r="EE12" s="304">
        <v>3</v>
      </c>
      <c r="EF12" s="305">
        <v>2</v>
      </c>
      <c r="EG12" s="264"/>
      <c r="EH12" s="264"/>
      <c r="EI12" s="264"/>
      <c r="EJ12" s="264"/>
      <c r="EL12" s="816" t="s">
        <v>109</v>
      </c>
      <c r="EM12" s="312" t="s">
        <v>100</v>
      </c>
      <c r="EN12" s="268" t="s">
        <v>1892</v>
      </c>
      <c r="EO12" s="323">
        <v>98</v>
      </c>
      <c r="EP12" s="323">
        <v>98</v>
      </c>
      <c r="EQ12" s="323">
        <v>98</v>
      </c>
      <c r="ER12" s="323">
        <v>98</v>
      </c>
      <c r="ES12" s="323">
        <v>98</v>
      </c>
      <c r="ET12" s="819">
        <v>98</v>
      </c>
    </row>
    <row r="13" spans="1:150" ht="63.75" customHeight="1" thickBot="1" x14ac:dyDescent="0.25">
      <c r="A13" s="271" t="s">
        <v>53</v>
      </c>
      <c r="B13" s="272" t="s">
        <v>54</v>
      </c>
      <c r="C13" s="273" t="s">
        <v>55</v>
      </c>
      <c r="D13" s="274"/>
      <c r="E13" s="8" t="s">
        <v>57</v>
      </c>
      <c r="F13" s="275" t="str">
        <f t="shared" si="4"/>
        <v>E1.P_A</v>
      </c>
      <c r="G13" s="276" t="s">
        <v>58</v>
      </c>
      <c r="H13" s="276" t="s">
        <v>59</v>
      </c>
      <c r="I13" s="277"/>
      <c r="J13" s="278" t="s">
        <v>61</v>
      </c>
      <c r="K13" s="279" t="str">
        <f t="shared" si="5"/>
        <v>E1.P_A.MR1</v>
      </c>
      <c r="L13" s="280" t="s">
        <v>62</v>
      </c>
      <c r="M13" s="281" t="s">
        <v>63</v>
      </c>
      <c r="N13" s="282">
        <v>0</v>
      </c>
      <c r="O13" s="283">
        <v>0.1</v>
      </c>
      <c r="P13" s="306" t="s">
        <v>112</v>
      </c>
      <c r="Q13" s="284" t="str">
        <f t="shared" si="6"/>
        <v>E1.P_A.MR1-MP04-1</v>
      </c>
      <c r="R13" s="307" t="s">
        <v>113</v>
      </c>
      <c r="S13" s="308" t="s">
        <v>114</v>
      </c>
      <c r="T13" s="287">
        <v>0</v>
      </c>
      <c r="U13" s="288">
        <v>3</v>
      </c>
      <c r="V13" s="287" t="s">
        <v>67</v>
      </c>
      <c r="W13" s="309">
        <v>0.5</v>
      </c>
      <c r="X13" s="324">
        <v>0.5</v>
      </c>
      <c r="Y13" s="289">
        <v>1</v>
      </c>
      <c r="Z13" s="291">
        <v>1</v>
      </c>
      <c r="AA13" s="292"/>
      <c r="AB13" s="293"/>
      <c r="AC13" s="293"/>
      <c r="AD13" s="293"/>
      <c r="AE13" s="293"/>
      <c r="AF13" s="293"/>
      <c r="AG13" s="293"/>
      <c r="AH13" s="293"/>
      <c r="AI13" s="293"/>
      <c r="AJ13" s="293"/>
      <c r="AK13" s="293"/>
      <c r="AL13" s="293"/>
      <c r="AM13" s="293"/>
      <c r="AN13" s="293"/>
      <c r="AO13" s="293"/>
      <c r="AP13" s="293"/>
      <c r="AQ13" s="293"/>
      <c r="AR13" s="293"/>
      <c r="AS13" s="293"/>
      <c r="AT13" s="293"/>
      <c r="AU13" s="293"/>
      <c r="AV13" s="293"/>
      <c r="AW13" s="293"/>
      <c r="AX13" s="293"/>
      <c r="AY13" s="293"/>
      <c r="AZ13" s="293"/>
      <c r="BA13" s="293"/>
      <c r="BB13" s="293"/>
      <c r="BC13" s="294"/>
      <c r="BD13" s="295" t="s">
        <v>68</v>
      </c>
      <c r="BI13" s="296"/>
      <c r="BJ13" s="297"/>
      <c r="BK13" s="9" t="s">
        <v>115</v>
      </c>
      <c r="BL13" s="298" t="s">
        <v>116</v>
      </c>
      <c r="BN13" s="12" t="s">
        <v>69</v>
      </c>
      <c r="BO13" s="325" t="s">
        <v>58</v>
      </c>
      <c r="BP13" s="13" t="s">
        <v>117</v>
      </c>
      <c r="BQ13" s="326" t="s">
        <v>118</v>
      </c>
      <c r="BS13" s="86" t="s">
        <v>70</v>
      </c>
      <c r="BT13" s="86" t="s">
        <v>62</v>
      </c>
      <c r="BU13" s="85" t="s">
        <v>109</v>
      </c>
      <c r="BV13" s="84"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1" t="s">
        <v>94</v>
      </c>
      <c r="EC13" s="302" t="s">
        <v>95</v>
      </c>
      <c r="ED13" s="303" t="s">
        <v>213</v>
      </c>
      <c r="EE13" s="304" t="s">
        <v>214</v>
      </c>
      <c r="EF13" s="327" t="s">
        <v>214</v>
      </c>
      <c r="EG13" s="264"/>
      <c r="EH13" s="264"/>
      <c r="EI13" s="264"/>
      <c r="EJ13" s="264"/>
      <c r="EL13" s="816" t="s">
        <v>119</v>
      </c>
      <c r="EM13" s="312" t="s">
        <v>113</v>
      </c>
      <c r="EN13" s="268" t="s">
        <v>114</v>
      </c>
      <c r="EO13" s="268">
        <v>0</v>
      </c>
      <c r="EP13" s="268">
        <v>3</v>
      </c>
      <c r="EQ13" s="270">
        <v>0.5</v>
      </c>
      <c r="ER13" s="270">
        <v>0.5</v>
      </c>
      <c r="ES13" s="269">
        <v>1</v>
      </c>
      <c r="ET13" s="820">
        <v>1</v>
      </c>
    </row>
    <row r="14" spans="1:150" ht="55.5" customHeight="1" x14ac:dyDescent="0.25">
      <c r="A14" s="271" t="s">
        <v>53</v>
      </c>
      <c r="B14" s="272" t="s">
        <v>54</v>
      </c>
      <c r="C14" s="273" t="s">
        <v>55</v>
      </c>
      <c r="D14" s="274"/>
      <c r="E14" s="8" t="s">
        <v>57</v>
      </c>
      <c r="F14" s="275" t="str">
        <f t="shared" si="4"/>
        <v>E1.P_A</v>
      </c>
      <c r="G14" s="276" t="s">
        <v>58</v>
      </c>
      <c r="H14" s="276" t="s">
        <v>59</v>
      </c>
      <c r="I14" s="277"/>
      <c r="J14" s="278" t="s">
        <v>61</v>
      </c>
      <c r="K14" s="279" t="str">
        <f t="shared" si="5"/>
        <v>E1.P_A.MR1</v>
      </c>
      <c r="L14" s="280" t="s">
        <v>62</v>
      </c>
      <c r="M14" s="281" t="s">
        <v>63</v>
      </c>
      <c r="N14" s="282">
        <v>0</v>
      </c>
      <c r="O14" s="283">
        <v>0.1</v>
      </c>
      <c r="P14" s="306" t="s">
        <v>122</v>
      </c>
      <c r="Q14" s="284" t="str">
        <f t="shared" si="6"/>
        <v>E1.P_A.MR1-MP05-1</v>
      </c>
      <c r="R14" s="307" t="s">
        <v>123</v>
      </c>
      <c r="S14" s="308" t="s">
        <v>124</v>
      </c>
      <c r="T14" s="287">
        <v>3</v>
      </c>
      <c r="U14" s="288">
        <v>3</v>
      </c>
      <c r="V14" s="287" t="s">
        <v>102</v>
      </c>
      <c r="W14" s="289">
        <v>3</v>
      </c>
      <c r="X14" s="290">
        <v>3</v>
      </c>
      <c r="Y14" s="289">
        <v>3</v>
      </c>
      <c r="Z14" s="291">
        <v>3</v>
      </c>
      <c r="AA14" s="292"/>
      <c r="AB14" s="293"/>
      <c r="AC14" s="293"/>
      <c r="AD14" s="293"/>
      <c r="AE14" s="293"/>
      <c r="AF14" s="293"/>
      <c r="AG14" s="293"/>
      <c r="AH14" s="293"/>
      <c r="AI14" s="293"/>
      <c r="AJ14" s="293"/>
      <c r="AK14" s="293"/>
      <c r="AL14" s="293"/>
      <c r="AM14" s="293"/>
      <c r="AN14" s="293"/>
      <c r="AO14" s="293"/>
      <c r="AP14" s="293"/>
      <c r="AQ14" s="293"/>
      <c r="AR14" s="293"/>
      <c r="AS14" s="293"/>
      <c r="AT14" s="293"/>
      <c r="AU14" s="293"/>
      <c r="AV14" s="293"/>
      <c r="AW14" s="293"/>
      <c r="AX14" s="293"/>
      <c r="AY14" s="293"/>
      <c r="AZ14" s="293"/>
      <c r="BA14" s="293"/>
      <c r="BB14" s="293"/>
      <c r="BC14" s="294"/>
      <c r="BD14" s="295" t="s">
        <v>68</v>
      </c>
      <c r="BI14" s="296"/>
      <c r="BJ14" s="297"/>
      <c r="BK14" s="9" t="s">
        <v>125</v>
      </c>
      <c r="BL14" s="298" t="s">
        <v>126</v>
      </c>
      <c r="BN14" s="5" t="s">
        <v>78</v>
      </c>
      <c r="BO14" s="262" t="s">
        <v>79</v>
      </c>
      <c r="BP14" s="6" t="s">
        <v>127</v>
      </c>
      <c r="BQ14" s="263" t="s">
        <v>128</v>
      </c>
      <c r="BS14" s="86" t="s">
        <v>70</v>
      </c>
      <c r="BT14" s="86" t="s">
        <v>62</v>
      </c>
      <c r="BU14" s="85" t="s">
        <v>119</v>
      </c>
      <c r="BV14" s="84"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1" t="s">
        <v>107</v>
      </c>
      <c r="EC14" s="302" t="s">
        <v>108</v>
      </c>
      <c r="ED14" s="303" t="s">
        <v>269</v>
      </c>
      <c r="EE14" s="328">
        <v>0</v>
      </c>
      <c r="EF14" s="329">
        <v>4</v>
      </c>
      <c r="EG14" s="264"/>
      <c r="EH14" s="264"/>
      <c r="EI14" s="264"/>
      <c r="EJ14" s="264"/>
      <c r="EL14" s="816" t="s">
        <v>129</v>
      </c>
      <c r="EM14" s="312" t="s">
        <v>123</v>
      </c>
      <c r="EN14" s="268" t="s">
        <v>124</v>
      </c>
      <c r="EO14" s="268">
        <v>3</v>
      </c>
      <c r="EP14" s="268">
        <v>3</v>
      </c>
      <c r="EQ14" s="269">
        <v>3</v>
      </c>
      <c r="ER14" s="269">
        <v>3</v>
      </c>
      <c r="ES14" s="269">
        <v>3</v>
      </c>
      <c r="ET14" s="820">
        <v>3</v>
      </c>
    </row>
    <row r="15" spans="1:150" ht="48.75" customHeight="1" x14ac:dyDescent="0.25">
      <c r="A15" s="271" t="s">
        <v>53</v>
      </c>
      <c r="B15" s="272" t="s">
        <v>54</v>
      </c>
      <c r="C15" s="273" t="s">
        <v>55</v>
      </c>
      <c r="D15" s="274"/>
      <c r="E15" s="8" t="s">
        <v>57</v>
      </c>
      <c r="F15" s="275" t="str">
        <f t="shared" si="4"/>
        <v>E1.P_A</v>
      </c>
      <c r="G15" s="276" t="s">
        <v>58</v>
      </c>
      <c r="H15" s="276" t="s">
        <v>59</v>
      </c>
      <c r="I15" s="277"/>
      <c r="J15" s="278" t="s">
        <v>61</v>
      </c>
      <c r="K15" s="279" t="str">
        <f t="shared" si="5"/>
        <v>E1.P_A.MR1</v>
      </c>
      <c r="L15" s="280" t="s">
        <v>62</v>
      </c>
      <c r="M15" s="281" t="s">
        <v>63</v>
      </c>
      <c r="N15" s="282">
        <v>0</v>
      </c>
      <c r="O15" s="283">
        <v>0.1</v>
      </c>
      <c r="P15" s="306" t="s">
        <v>132</v>
      </c>
      <c r="Q15" s="284" t="str">
        <f t="shared" si="6"/>
        <v>E1.P_A.MR1-MP06-1</v>
      </c>
      <c r="R15" s="307" t="s">
        <v>133</v>
      </c>
      <c r="S15" s="308" t="s">
        <v>134</v>
      </c>
      <c r="T15" s="287">
        <v>3</v>
      </c>
      <c r="U15" s="288">
        <v>3</v>
      </c>
      <c r="V15" s="287" t="s">
        <v>102</v>
      </c>
      <c r="W15" s="289">
        <v>3</v>
      </c>
      <c r="X15" s="290">
        <v>3</v>
      </c>
      <c r="Y15" s="289">
        <v>3</v>
      </c>
      <c r="Z15" s="291">
        <v>3</v>
      </c>
      <c r="AA15" s="292"/>
      <c r="AB15" s="293"/>
      <c r="AC15" s="293"/>
      <c r="AD15" s="293"/>
      <c r="AE15" s="293"/>
      <c r="AF15" s="293"/>
      <c r="AG15" s="293"/>
      <c r="AH15" s="293"/>
      <c r="AI15" s="293"/>
      <c r="AJ15" s="293"/>
      <c r="AK15" s="293"/>
      <c r="AL15" s="293"/>
      <c r="AM15" s="293"/>
      <c r="AN15" s="293"/>
      <c r="AO15" s="293"/>
      <c r="AP15" s="293"/>
      <c r="AQ15" s="293"/>
      <c r="AR15" s="293"/>
      <c r="AS15" s="293"/>
      <c r="AT15" s="293"/>
      <c r="AU15" s="293"/>
      <c r="AV15" s="293"/>
      <c r="AW15" s="293"/>
      <c r="AX15" s="293"/>
      <c r="AY15" s="293"/>
      <c r="AZ15" s="293"/>
      <c r="BA15" s="293"/>
      <c r="BB15" s="293"/>
      <c r="BC15" s="294"/>
      <c r="BD15" s="295" t="s">
        <v>68</v>
      </c>
      <c r="BI15" s="296"/>
      <c r="BJ15" s="297"/>
      <c r="BK15" s="9" t="s">
        <v>135</v>
      </c>
      <c r="BL15" s="298" t="s">
        <v>136</v>
      </c>
      <c r="BN15" s="10" t="s">
        <v>78</v>
      </c>
      <c r="BO15" s="299" t="s">
        <v>79</v>
      </c>
      <c r="BP15" s="11" t="s">
        <v>137</v>
      </c>
      <c r="BQ15" s="300" t="s">
        <v>138</v>
      </c>
      <c r="BS15" s="86" t="s">
        <v>70</v>
      </c>
      <c r="BT15" s="86" t="s">
        <v>62</v>
      </c>
      <c r="BU15" s="85" t="s">
        <v>129</v>
      </c>
      <c r="BV15" s="84"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1" t="s">
        <v>117</v>
      </c>
      <c r="EC15" s="302" t="s">
        <v>118</v>
      </c>
      <c r="ED15" s="303" t="s">
        <v>328</v>
      </c>
      <c r="EE15" s="304">
        <v>0</v>
      </c>
      <c r="EF15" s="329">
        <v>1</v>
      </c>
      <c r="EG15" s="264"/>
      <c r="EH15" s="264"/>
      <c r="EI15" s="264"/>
      <c r="EJ15" s="264"/>
      <c r="EL15" s="816" t="s">
        <v>139</v>
      </c>
      <c r="EM15" s="312" t="s">
        <v>133</v>
      </c>
      <c r="EN15" s="268" t="s">
        <v>134</v>
      </c>
      <c r="EO15" s="268">
        <v>3</v>
      </c>
      <c r="EP15" s="268">
        <v>3</v>
      </c>
      <c r="EQ15" s="269">
        <v>3</v>
      </c>
      <c r="ER15" s="269">
        <v>3</v>
      </c>
      <c r="ES15" s="269">
        <v>3</v>
      </c>
      <c r="ET15" s="820">
        <v>3</v>
      </c>
    </row>
    <row r="16" spans="1:150" ht="64.5" customHeight="1" thickBot="1" x14ac:dyDescent="0.3">
      <c r="A16" s="271" t="s">
        <v>53</v>
      </c>
      <c r="B16" s="272" t="s">
        <v>54</v>
      </c>
      <c r="C16" s="273" t="s">
        <v>55</v>
      </c>
      <c r="D16" s="274"/>
      <c r="E16" s="8" t="s">
        <v>57</v>
      </c>
      <c r="F16" s="275" t="str">
        <f t="shared" si="4"/>
        <v>E1.P_A</v>
      </c>
      <c r="G16" s="276" t="s">
        <v>58</v>
      </c>
      <c r="H16" s="276" t="s">
        <v>59</v>
      </c>
      <c r="I16" s="277"/>
      <c r="J16" s="278" t="s">
        <v>61</v>
      </c>
      <c r="K16" s="279" t="str">
        <f t="shared" si="5"/>
        <v>E1.P_A.MR1</v>
      </c>
      <c r="L16" s="280" t="s">
        <v>62</v>
      </c>
      <c r="M16" s="281" t="s">
        <v>63</v>
      </c>
      <c r="N16" s="282">
        <v>0</v>
      </c>
      <c r="O16" s="283">
        <v>0.1</v>
      </c>
      <c r="P16" s="306" t="s">
        <v>142</v>
      </c>
      <c r="Q16" s="284" t="str">
        <f t="shared" si="6"/>
        <v>E1.P_A.MR1-MP07-1</v>
      </c>
      <c r="R16" s="330" t="s">
        <v>143</v>
      </c>
      <c r="S16" s="331" t="s">
        <v>144</v>
      </c>
      <c r="T16" s="332">
        <v>3</v>
      </c>
      <c r="U16" s="333">
        <v>3</v>
      </c>
      <c r="V16" s="287" t="s">
        <v>102</v>
      </c>
      <c r="W16" s="289">
        <v>3</v>
      </c>
      <c r="X16" s="290">
        <v>3</v>
      </c>
      <c r="Y16" s="289">
        <v>3</v>
      </c>
      <c r="Z16" s="291">
        <v>3</v>
      </c>
      <c r="AA16" s="292"/>
      <c r="AB16" s="293"/>
      <c r="AC16" s="293"/>
      <c r="AD16" s="293"/>
      <c r="AE16" s="293"/>
      <c r="AF16" s="293"/>
      <c r="AG16" s="293"/>
      <c r="AH16" s="293"/>
      <c r="AI16" s="293"/>
      <c r="AJ16" s="293"/>
      <c r="AK16" s="293"/>
      <c r="AL16" s="293"/>
      <c r="AM16" s="293"/>
      <c r="AN16" s="293"/>
      <c r="AO16" s="293"/>
      <c r="AP16" s="293"/>
      <c r="AQ16" s="293"/>
      <c r="AR16" s="293"/>
      <c r="AS16" s="293"/>
      <c r="AT16" s="293"/>
      <c r="AU16" s="293"/>
      <c r="AV16" s="293"/>
      <c r="AW16" s="293"/>
      <c r="AX16" s="293"/>
      <c r="AY16" s="293"/>
      <c r="AZ16" s="293"/>
      <c r="BA16" s="293"/>
      <c r="BB16" s="293"/>
      <c r="BC16" s="294"/>
      <c r="BD16" s="295" t="s">
        <v>68</v>
      </c>
      <c r="BI16" s="296"/>
      <c r="BJ16" s="297"/>
      <c r="BK16" s="9" t="s">
        <v>145</v>
      </c>
      <c r="BL16" s="298" t="s">
        <v>146</v>
      </c>
      <c r="BN16" s="12" t="s">
        <v>78</v>
      </c>
      <c r="BO16" s="325" t="s">
        <v>79</v>
      </c>
      <c r="BP16" s="13" t="s">
        <v>147</v>
      </c>
      <c r="BQ16" s="326" t="s">
        <v>148</v>
      </c>
      <c r="BS16" s="86" t="s">
        <v>70</v>
      </c>
      <c r="BT16" s="86" t="s">
        <v>62</v>
      </c>
      <c r="BU16" s="85" t="s">
        <v>139</v>
      </c>
      <c r="BV16" s="84"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1" t="s">
        <v>127</v>
      </c>
      <c r="EC16" s="302" t="s">
        <v>128</v>
      </c>
      <c r="ED16" s="303" t="s">
        <v>374</v>
      </c>
      <c r="EE16" s="304">
        <v>20</v>
      </c>
      <c r="EF16" s="329">
        <v>100</v>
      </c>
      <c r="EG16" s="264"/>
      <c r="EH16" s="264"/>
      <c r="EI16" s="264"/>
      <c r="EJ16" s="264"/>
      <c r="EL16" s="816" t="s">
        <v>149</v>
      </c>
      <c r="EM16" s="312" t="s">
        <v>143</v>
      </c>
      <c r="EN16" s="268" t="s">
        <v>144</v>
      </c>
      <c r="EO16" s="268">
        <v>3</v>
      </c>
      <c r="EP16" s="268">
        <v>3</v>
      </c>
      <c r="EQ16" s="269">
        <v>3</v>
      </c>
      <c r="ER16" s="269">
        <v>3</v>
      </c>
      <c r="ES16" s="269">
        <v>3</v>
      </c>
      <c r="ET16" s="820">
        <v>3</v>
      </c>
    </row>
    <row r="17" spans="1:150" ht="94.5" customHeight="1" thickBot="1" x14ac:dyDescent="0.25">
      <c r="A17" s="271" t="s">
        <v>53</v>
      </c>
      <c r="B17" s="272" t="s">
        <v>54</v>
      </c>
      <c r="C17" s="273" t="s">
        <v>55</v>
      </c>
      <c r="D17" s="274"/>
      <c r="E17" s="8" t="s">
        <v>57</v>
      </c>
      <c r="F17" s="275" t="str">
        <f t="shared" si="4"/>
        <v>E1.P_A</v>
      </c>
      <c r="G17" s="276" t="s">
        <v>58</v>
      </c>
      <c r="H17" s="276" t="s">
        <v>59</v>
      </c>
      <c r="I17" s="334" t="s">
        <v>154</v>
      </c>
      <c r="J17" s="335" t="s">
        <v>61</v>
      </c>
      <c r="K17" s="336" t="str">
        <f t="shared" si="5"/>
        <v>E1.P_A.MR1</v>
      </c>
      <c r="L17" s="337" t="s">
        <v>155</v>
      </c>
      <c r="M17" s="338" t="s">
        <v>63</v>
      </c>
      <c r="N17" s="339">
        <v>0</v>
      </c>
      <c r="O17" s="340">
        <v>0.1</v>
      </c>
      <c r="P17" s="341" t="s">
        <v>156</v>
      </c>
      <c r="Q17" s="342" t="str">
        <f t="shared" si="6"/>
        <v>E1.P_A.MR1-MP08-1</v>
      </c>
      <c r="R17" s="343" t="s">
        <v>157</v>
      </c>
      <c r="S17" s="344" t="s">
        <v>158</v>
      </c>
      <c r="T17" s="345">
        <v>0</v>
      </c>
      <c r="U17" s="346">
        <v>3</v>
      </c>
      <c r="V17" s="345" t="s">
        <v>67</v>
      </c>
      <c r="W17" s="347">
        <v>0</v>
      </c>
      <c r="X17" s="348">
        <v>1</v>
      </c>
      <c r="Y17" s="347">
        <v>1</v>
      </c>
      <c r="Z17" s="349">
        <v>1</v>
      </c>
      <c r="AA17" s="292"/>
      <c r="AB17" s="293"/>
      <c r="AC17" s="293"/>
      <c r="AD17" s="293"/>
      <c r="AE17" s="293"/>
      <c r="AF17" s="293"/>
      <c r="AG17" s="293"/>
      <c r="AH17" s="293"/>
      <c r="AI17" s="293"/>
      <c r="AJ17" s="293"/>
      <c r="AK17" s="293"/>
      <c r="AL17" s="293"/>
      <c r="AM17" s="293"/>
      <c r="AN17" s="293"/>
      <c r="AO17" s="293"/>
      <c r="AP17" s="293"/>
      <c r="AQ17" s="293"/>
      <c r="AR17" s="293"/>
      <c r="AS17" s="293"/>
      <c r="AT17" s="293"/>
      <c r="AU17" s="293"/>
      <c r="AV17" s="293"/>
      <c r="AW17" s="293"/>
      <c r="AX17" s="293"/>
      <c r="AY17" s="293"/>
      <c r="AZ17" s="293"/>
      <c r="BA17" s="293"/>
      <c r="BB17" s="293"/>
      <c r="BC17" s="294"/>
      <c r="BD17" s="295" t="s">
        <v>68</v>
      </c>
      <c r="BI17" s="296"/>
      <c r="BJ17" s="297"/>
      <c r="BK17" s="9" t="s">
        <v>159</v>
      </c>
      <c r="BL17" s="298" t="s">
        <v>160</v>
      </c>
      <c r="BN17" s="14" t="s">
        <v>92</v>
      </c>
      <c r="BO17" s="350" t="s">
        <v>93</v>
      </c>
      <c r="BP17" s="15" t="s">
        <v>161</v>
      </c>
      <c r="BQ17" s="351" t="s">
        <v>162</v>
      </c>
      <c r="BS17" s="86" t="s">
        <v>70</v>
      </c>
      <c r="BT17" s="86" t="s">
        <v>62</v>
      </c>
      <c r="BU17" s="85" t="s">
        <v>149</v>
      </c>
      <c r="BV17" s="84"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1" t="s">
        <v>137</v>
      </c>
      <c r="EC17" s="302" t="s">
        <v>138</v>
      </c>
      <c r="ED17" s="303" t="s">
        <v>420</v>
      </c>
      <c r="EE17" s="352">
        <v>5295</v>
      </c>
      <c r="EF17" s="327">
        <v>5295</v>
      </c>
      <c r="EG17" s="264"/>
      <c r="EH17" s="264"/>
      <c r="EI17" s="264"/>
      <c r="EJ17" s="264"/>
      <c r="EL17" s="816" t="s">
        <v>163</v>
      </c>
      <c r="EM17" s="312" t="s">
        <v>157</v>
      </c>
      <c r="EN17" s="268" t="s">
        <v>158</v>
      </c>
      <c r="EO17" s="268">
        <v>0</v>
      </c>
      <c r="EP17" s="268">
        <v>3</v>
      </c>
      <c r="EQ17" s="269">
        <v>1</v>
      </c>
      <c r="ER17" s="810">
        <v>0.66</v>
      </c>
      <c r="ES17" s="810">
        <v>0.66</v>
      </c>
      <c r="ET17" s="821">
        <v>0.68</v>
      </c>
    </row>
    <row r="18" spans="1:150" ht="49.5" customHeight="1" thickBot="1" x14ac:dyDescent="0.3">
      <c r="A18" s="271" t="s">
        <v>53</v>
      </c>
      <c r="B18" s="272" t="s">
        <v>54</v>
      </c>
      <c r="C18" s="273" t="s">
        <v>55</v>
      </c>
      <c r="D18" s="274"/>
      <c r="E18" s="8" t="s">
        <v>57</v>
      </c>
      <c r="F18" s="275" t="str">
        <f t="shared" si="4"/>
        <v>E1.P_A</v>
      </c>
      <c r="G18" s="276" t="s">
        <v>58</v>
      </c>
      <c r="H18" s="276" t="s">
        <v>59</v>
      </c>
      <c r="I18" s="994" t="s">
        <v>166</v>
      </c>
      <c r="J18" s="353" t="s">
        <v>167</v>
      </c>
      <c r="K18" s="354" t="str">
        <f t="shared" si="5"/>
        <v>E1.P_A.MR2</v>
      </c>
      <c r="L18" s="355" t="s">
        <v>81</v>
      </c>
      <c r="M18" s="356" t="s">
        <v>168</v>
      </c>
      <c r="N18" s="357">
        <v>3</v>
      </c>
      <c r="O18" s="358">
        <v>2</v>
      </c>
      <c r="P18" s="359" t="s">
        <v>64</v>
      </c>
      <c r="Q18" s="360" t="str">
        <f t="shared" si="6"/>
        <v>E1.P_A.MR2-MP01-1</v>
      </c>
      <c r="R18" s="361" t="s">
        <v>169</v>
      </c>
      <c r="S18" s="362" t="s">
        <v>170</v>
      </c>
      <c r="T18" s="363">
        <v>0</v>
      </c>
      <c r="U18" s="364">
        <v>4</v>
      </c>
      <c r="V18" s="363" t="s">
        <v>67</v>
      </c>
      <c r="W18" s="249">
        <v>1</v>
      </c>
      <c r="X18" s="365">
        <v>1</v>
      </c>
      <c r="Y18" s="249">
        <v>1</v>
      </c>
      <c r="Z18" s="366">
        <v>1</v>
      </c>
      <c r="AA18" s="292"/>
      <c r="AB18" s="293"/>
      <c r="AC18" s="293"/>
      <c r="AD18" s="293"/>
      <c r="AE18" s="293"/>
      <c r="AF18" s="293"/>
      <c r="AG18" s="293"/>
      <c r="AH18" s="293"/>
      <c r="AI18" s="293"/>
      <c r="AJ18" s="293"/>
      <c r="AK18" s="293"/>
      <c r="AL18" s="293"/>
      <c r="AM18" s="293"/>
      <c r="AN18" s="293"/>
      <c r="AO18" s="293"/>
      <c r="AP18" s="293"/>
      <c r="AQ18" s="293"/>
      <c r="AR18" s="293"/>
      <c r="AS18" s="293"/>
      <c r="AT18" s="293"/>
      <c r="AU18" s="293"/>
      <c r="AV18" s="293"/>
      <c r="AW18" s="293"/>
      <c r="AX18" s="293"/>
      <c r="AY18" s="293"/>
      <c r="AZ18" s="293"/>
      <c r="BA18" s="293"/>
      <c r="BB18" s="293"/>
      <c r="BC18" s="294"/>
      <c r="BD18" s="295" t="s">
        <v>68</v>
      </c>
      <c r="BI18" s="296"/>
      <c r="BJ18" s="297"/>
      <c r="BK18" s="16" t="s">
        <v>171</v>
      </c>
      <c r="BL18" s="367" t="s">
        <v>172</v>
      </c>
      <c r="BN18" s="14" t="s">
        <v>105</v>
      </c>
      <c r="BO18" s="350" t="s">
        <v>106</v>
      </c>
      <c r="BP18" s="15" t="s">
        <v>173</v>
      </c>
      <c r="BQ18" s="351" t="s">
        <v>174</v>
      </c>
      <c r="BS18" s="86" t="s">
        <v>70</v>
      </c>
      <c r="BT18" s="86" t="s">
        <v>62</v>
      </c>
      <c r="BU18" s="85" t="s">
        <v>163</v>
      </c>
      <c r="BV18" s="84"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1" t="s">
        <v>147</v>
      </c>
      <c r="EC18" s="302" t="s">
        <v>148</v>
      </c>
      <c r="ED18" s="303" t="s">
        <v>451</v>
      </c>
      <c r="EE18" s="304">
        <v>0</v>
      </c>
      <c r="EF18" s="329">
        <v>20</v>
      </c>
      <c r="EG18" s="264"/>
      <c r="EH18" s="264"/>
      <c r="EI18" s="264"/>
      <c r="EJ18" s="264"/>
      <c r="EL18" s="822" t="s">
        <v>175</v>
      </c>
      <c r="EM18" s="312" t="s">
        <v>169</v>
      </c>
      <c r="EN18" s="268" t="s">
        <v>170</v>
      </c>
      <c r="EO18" s="268">
        <v>0</v>
      </c>
      <c r="EP18" s="268">
        <v>4</v>
      </c>
      <c r="EQ18" s="269">
        <v>0</v>
      </c>
      <c r="ER18" s="269">
        <v>1</v>
      </c>
      <c r="ES18" s="269">
        <v>2</v>
      </c>
      <c r="ET18" s="820">
        <v>1</v>
      </c>
    </row>
    <row r="19" spans="1:150" ht="33" customHeight="1" thickBot="1" x14ac:dyDescent="0.25">
      <c r="A19" s="271" t="s">
        <v>53</v>
      </c>
      <c r="B19" s="272" t="s">
        <v>54</v>
      </c>
      <c r="C19" s="273" t="s">
        <v>55</v>
      </c>
      <c r="D19" s="274"/>
      <c r="E19" s="8" t="s">
        <v>57</v>
      </c>
      <c r="F19" s="275" t="str">
        <f t="shared" si="4"/>
        <v>E1.P_A</v>
      </c>
      <c r="G19" s="276" t="s">
        <v>58</v>
      </c>
      <c r="H19" s="276" t="s">
        <v>59</v>
      </c>
      <c r="I19" s="995"/>
      <c r="J19" s="368" t="s">
        <v>167</v>
      </c>
      <c r="K19" s="278" t="str">
        <f t="shared" si="5"/>
        <v>E1.P_A.MR2</v>
      </c>
      <c r="L19" s="280" t="s">
        <v>81</v>
      </c>
      <c r="M19" s="281" t="s">
        <v>168</v>
      </c>
      <c r="N19" s="369">
        <v>3</v>
      </c>
      <c r="O19" s="370">
        <v>2</v>
      </c>
      <c r="P19" s="371" t="s">
        <v>87</v>
      </c>
      <c r="Q19" s="372" t="str">
        <f t="shared" si="6"/>
        <v>E1.P_A.MR2-MP02-1</v>
      </c>
      <c r="R19" s="307" t="s">
        <v>178</v>
      </c>
      <c r="S19" s="308" t="s">
        <v>179</v>
      </c>
      <c r="T19" s="287">
        <v>0</v>
      </c>
      <c r="U19" s="288">
        <v>1</v>
      </c>
      <c r="V19" s="287" t="s">
        <v>67</v>
      </c>
      <c r="W19" s="289">
        <v>0</v>
      </c>
      <c r="X19" s="324">
        <v>0.5</v>
      </c>
      <c r="Y19" s="315">
        <v>0.25</v>
      </c>
      <c r="Z19" s="317">
        <v>0.25</v>
      </c>
      <c r="AA19" s="292"/>
      <c r="AB19" s="293"/>
      <c r="AC19" s="293"/>
      <c r="AD19" s="293"/>
      <c r="AE19" s="293"/>
      <c r="AF19" s="293"/>
      <c r="AG19" s="293"/>
      <c r="AH19" s="293"/>
      <c r="AI19" s="293"/>
      <c r="AJ19" s="293"/>
      <c r="AK19" s="293"/>
      <c r="AL19" s="293"/>
      <c r="AM19" s="293"/>
      <c r="AN19" s="293"/>
      <c r="AO19" s="293"/>
      <c r="AP19" s="293"/>
      <c r="AQ19" s="293"/>
      <c r="AR19" s="293"/>
      <c r="AS19" s="293"/>
      <c r="AT19" s="293"/>
      <c r="AU19" s="293"/>
      <c r="AV19" s="293"/>
      <c r="AW19" s="293"/>
      <c r="AX19" s="293"/>
      <c r="AY19" s="293"/>
      <c r="AZ19" s="293"/>
      <c r="BA19" s="293"/>
      <c r="BB19" s="293"/>
      <c r="BC19" s="294"/>
      <c r="BD19" s="295" t="s">
        <v>68</v>
      </c>
      <c r="BI19" s="373" t="s">
        <v>76</v>
      </c>
      <c r="BJ19" s="374" t="s">
        <v>77</v>
      </c>
      <c r="BK19" s="4" t="s">
        <v>180</v>
      </c>
      <c r="BL19" s="261" t="s">
        <v>181</v>
      </c>
      <c r="BN19" s="14" t="s">
        <v>115</v>
      </c>
      <c r="BO19" s="350" t="s">
        <v>116</v>
      </c>
      <c r="BP19" s="15" t="s">
        <v>182</v>
      </c>
      <c r="BQ19" s="351" t="s">
        <v>183</v>
      </c>
      <c r="BS19" s="84" t="s">
        <v>80</v>
      </c>
      <c r="BT19" s="84" t="s">
        <v>81</v>
      </c>
      <c r="BU19" s="85" t="s">
        <v>175</v>
      </c>
      <c r="BV19" s="84"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1" t="s">
        <v>161</v>
      </c>
      <c r="EC19" s="302" t="s">
        <v>162</v>
      </c>
      <c r="ED19" s="303" t="s">
        <v>532</v>
      </c>
      <c r="EE19" s="352">
        <v>3630</v>
      </c>
      <c r="EF19" s="327">
        <v>3700</v>
      </c>
      <c r="EG19" s="264"/>
      <c r="EH19" s="264"/>
      <c r="EI19" s="264"/>
      <c r="EJ19" s="264"/>
      <c r="EL19" s="822" t="s">
        <v>184</v>
      </c>
      <c r="EM19" s="312" t="s">
        <v>178</v>
      </c>
      <c r="EN19" s="268" t="s">
        <v>179</v>
      </c>
      <c r="EO19" s="268">
        <v>0</v>
      </c>
      <c r="EP19" s="268">
        <v>1</v>
      </c>
      <c r="EQ19" s="323">
        <v>0.25</v>
      </c>
      <c r="ER19" s="270">
        <v>0.25</v>
      </c>
      <c r="ES19" s="323">
        <v>0.25</v>
      </c>
      <c r="ET19" s="819">
        <v>0.25</v>
      </c>
    </row>
    <row r="20" spans="1:150" ht="49.5" customHeight="1" x14ac:dyDescent="0.2">
      <c r="A20" s="271" t="s">
        <v>53</v>
      </c>
      <c r="B20" s="272" t="s">
        <v>54</v>
      </c>
      <c r="C20" s="273" t="s">
        <v>55</v>
      </c>
      <c r="D20" s="274"/>
      <c r="E20" s="8" t="s">
        <v>57</v>
      </c>
      <c r="F20" s="275" t="str">
        <f t="shared" si="4"/>
        <v>E1.P_A</v>
      </c>
      <c r="G20" s="276" t="s">
        <v>58</v>
      </c>
      <c r="H20" s="276" t="s">
        <v>59</v>
      </c>
      <c r="I20" s="995"/>
      <c r="J20" s="368" t="s">
        <v>167</v>
      </c>
      <c r="K20" s="278" t="str">
        <f t="shared" si="5"/>
        <v>E1.P_A.MR2</v>
      </c>
      <c r="L20" s="280" t="s">
        <v>81</v>
      </c>
      <c r="M20" s="281" t="s">
        <v>168</v>
      </c>
      <c r="N20" s="369">
        <v>3</v>
      </c>
      <c r="O20" s="370">
        <v>2</v>
      </c>
      <c r="P20" s="371" t="s">
        <v>99</v>
      </c>
      <c r="Q20" s="372" t="str">
        <f t="shared" si="6"/>
        <v>E1.P_A.MR2-MP03-1</v>
      </c>
      <c r="R20" s="307" t="s">
        <v>189</v>
      </c>
      <c r="S20" s="308" t="s">
        <v>190</v>
      </c>
      <c r="T20" s="375">
        <v>8</v>
      </c>
      <c r="U20" s="376">
        <v>8</v>
      </c>
      <c r="V20" s="375" t="s">
        <v>102</v>
      </c>
      <c r="W20" s="289">
        <v>8</v>
      </c>
      <c r="X20" s="290">
        <v>8</v>
      </c>
      <c r="Y20" s="289">
        <v>8</v>
      </c>
      <c r="Z20" s="291">
        <v>8</v>
      </c>
      <c r="AA20" s="377"/>
      <c r="AB20" s="378"/>
      <c r="AC20" s="378"/>
      <c r="AD20" s="378"/>
      <c r="AE20" s="378"/>
      <c r="AF20" s="378"/>
      <c r="AG20" s="378"/>
      <c r="AH20" s="378"/>
      <c r="AI20" s="378"/>
      <c r="AJ20" s="378"/>
      <c r="AK20" s="378"/>
      <c r="AL20" s="378"/>
      <c r="AM20" s="378"/>
      <c r="AN20" s="378"/>
      <c r="AO20" s="378"/>
      <c r="AP20" s="378"/>
      <c r="AQ20" s="378"/>
      <c r="AR20" s="378"/>
      <c r="AS20" s="378"/>
      <c r="AT20" s="378"/>
      <c r="AU20" s="378"/>
      <c r="AV20" s="378"/>
      <c r="AW20" s="378"/>
      <c r="AX20" s="378"/>
      <c r="AY20" s="378"/>
      <c r="AZ20" s="378"/>
      <c r="BA20" s="378"/>
      <c r="BB20" s="378"/>
      <c r="BC20" s="379"/>
      <c r="BD20" s="295" t="s">
        <v>68</v>
      </c>
      <c r="BI20" s="296"/>
      <c r="BJ20" s="297"/>
      <c r="BK20" s="9" t="s">
        <v>191</v>
      </c>
      <c r="BL20" s="298" t="s">
        <v>192</v>
      </c>
      <c r="BN20" s="5" t="s">
        <v>125</v>
      </c>
      <c r="BO20" s="262" t="s">
        <v>126</v>
      </c>
      <c r="BP20" s="6" t="s">
        <v>193</v>
      </c>
      <c r="BQ20" s="263" t="s">
        <v>194</v>
      </c>
      <c r="BS20" s="86" t="s">
        <v>80</v>
      </c>
      <c r="BT20" s="86" t="s">
        <v>81</v>
      </c>
      <c r="BU20" s="85" t="s">
        <v>184</v>
      </c>
      <c r="BV20" s="84"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1" t="s">
        <v>173</v>
      </c>
      <c r="EC20" s="302" t="s">
        <v>174</v>
      </c>
      <c r="ED20" s="303" t="s">
        <v>532</v>
      </c>
      <c r="EE20" s="352">
        <v>1400</v>
      </c>
      <c r="EF20" s="327">
        <v>1800</v>
      </c>
      <c r="EG20" s="264"/>
      <c r="EH20" s="264"/>
      <c r="EI20" s="264"/>
      <c r="EJ20" s="264"/>
      <c r="EL20" s="822" t="s">
        <v>195</v>
      </c>
      <c r="EM20" s="312" t="s">
        <v>189</v>
      </c>
      <c r="EN20" s="268" t="s">
        <v>190</v>
      </c>
      <c r="EO20" s="380">
        <v>8</v>
      </c>
      <c r="EP20" s="380">
        <v>8</v>
      </c>
      <c r="EQ20" s="269">
        <v>8</v>
      </c>
      <c r="ER20" s="269">
        <v>8</v>
      </c>
      <c r="ES20" s="269">
        <v>8</v>
      </c>
      <c r="ET20" s="820">
        <v>8</v>
      </c>
    </row>
    <row r="21" spans="1:150" ht="37.5" customHeight="1" thickBot="1" x14ac:dyDescent="0.25">
      <c r="A21" s="271" t="s">
        <v>53</v>
      </c>
      <c r="B21" s="272" t="s">
        <v>54</v>
      </c>
      <c r="C21" s="273" t="s">
        <v>55</v>
      </c>
      <c r="D21" s="274"/>
      <c r="E21" s="8" t="s">
        <v>57</v>
      </c>
      <c r="F21" s="275" t="str">
        <f t="shared" si="4"/>
        <v>E1.P_A</v>
      </c>
      <c r="G21" s="276" t="s">
        <v>58</v>
      </c>
      <c r="H21" s="276" t="s">
        <v>59</v>
      </c>
      <c r="I21" s="996"/>
      <c r="J21" s="368" t="s">
        <v>167</v>
      </c>
      <c r="K21" s="335" t="str">
        <f t="shared" si="5"/>
        <v>E1.P_A.MR2</v>
      </c>
      <c r="L21" s="381" t="s">
        <v>81</v>
      </c>
      <c r="M21" s="382" t="s">
        <v>168</v>
      </c>
      <c r="N21" s="383">
        <v>3</v>
      </c>
      <c r="O21" s="384">
        <v>2</v>
      </c>
      <c r="P21" s="385" t="s">
        <v>112</v>
      </c>
      <c r="Q21" s="386" t="str">
        <f t="shared" si="6"/>
        <v>E1.P_A.MR2-MP04-1</v>
      </c>
      <c r="R21" s="343" t="s">
        <v>200</v>
      </c>
      <c r="S21" s="344" t="s">
        <v>201</v>
      </c>
      <c r="T21" s="387">
        <v>0</v>
      </c>
      <c r="U21" s="388">
        <v>3</v>
      </c>
      <c r="V21" s="387" t="s">
        <v>67</v>
      </c>
      <c r="W21" s="389">
        <v>0.75</v>
      </c>
      <c r="X21" s="390">
        <v>0.75</v>
      </c>
      <c r="Y21" s="389">
        <v>0.75</v>
      </c>
      <c r="Z21" s="391">
        <v>0.75</v>
      </c>
      <c r="AA21" s="377"/>
      <c r="AB21" s="378"/>
      <c r="AC21" s="378"/>
      <c r="AD21" s="378"/>
      <c r="AE21" s="378"/>
      <c r="AF21" s="378"/>
      <c r="AG21" s="378"/>
      <c r="AH21" s="378"/>
      <c r="AI21" s="378"/>
      <c r="AJ21" s="378"/>
      <c r="AK21" s="378"/>
      <c r="AL21" s="378"/>
      <c r="AM21" s="378"/>
      <c r="AN21" s="378"/>
      <c r="AO21" s="378"/>
      <c r="AP21" s="378"/>
      <c r="AQ21" s="378"/>
      <c r="AR21" s="378"/>
      <c r="AS21" s="378"/>
      <c r="AT21" s="378"/>
      <c r="AU21" s="378"/>
      <c r="AV21" s="378"/>
      <c r="AW21" s="378"/>
      <c r="AX21" s="378"/>
      <c r="AY21" s="378"/>
      <c r="AZ21" s="378"/>
      <c r="BA21" s="378"/>
      <c r="BB21" s="378"/>
      <c r="BC21" s="379"/>
      <c r="BD21" s="295" t="s">
        <v>68</v>
      </c>
      <c r="BI21" s="296"/>
      <c r="BJ21" s="297"/>
      <c r="BK21" s="9" t="s">
        <v>202</v>
      </c>
      <c r="BL21" s="298" t="s">
        <v>203</v>
      </c>
      <c r="BN21" s="12" t="s">
        <v>125</v>
      </c>
      <c r="BO21" s="325" t="s">
        <v>126</v>
      </c>
      <c r="BP21" s="13" t="s">
        <v>204</v>
      </c>
      <c r="BQ21" s="326" t="s">
        <v>205</v>
      </c>
      <c r="BS21" s="86" t="s">
        <v>80</v>
      </c>
      <c r="BT21" s="86" t="s">
        <v>81</v>
      </c>
      <c r="BU21" s="85" t="s">
        <v>195</v>
      </c>
      <c r="BV21" s="84"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1" t="s">
        <v>182</v>
      </c>
      <c r="EC21" s="302" t="s">
        <v>183</v>
      </c>
      <c r="ED21" s="303" t="s">
        <v>532</v>
      </c>
      <c r="EE21" s="352">
        <v>288</v>
      </c>
      <c r="EF21" s="327">
        <v>400</v>
      </c>
      <c r="EG21" s="264"/>
      <c r="EH21" s="264"/>
      <c r="EI21" s="264"/>
      <c r="EJ21" s="264"/>
      <c r="EL21" s="822" t="s">
        <v>206</v>
      </c>
      <c r="EM21" s="312" t="s">
        <v>200</v>
      </c>
      <c r="EN21" s="268" t="s">
        <v>201</v>
      </c>
      <c r="EO21" s="380">
        <v>0</v>
      </c>
      <c r="EP21" s="380">
        <v>3</v>
      </c>
      <c r="EQ21" s="323">
        <v>0.75</v>
      </c>
      <c r="ER21" s="323">
        <v>0.75</v>
      </c>
      <c r="ES21" s="323">
        <v>0.75</v>
      </c>
      <c r="ET21" s="819">
        <v>0.75</v>
      </c>
    </row>
    <row r="22" spans="1:150" ht="133.5" customHeight="1" x14ac:dyDescent="0.2">
      <c r="A22" s="271" t="s">
        <v>53</v>
      </c>
      <c r="B22" s="272" t="s">
        <v>54</v>
      </c>
      <c r="C22" s="273" t="s">
        <v>55</v>
      </c>
      <c r="D22" s="274"/>
      <c r="E22" s="8" t="s">
        <v>57</v>
      </c>
      <c r="F22" s="275" t="str">
        <f t="shared" si="4"/>
        <v>E1.P_A</v>
      </c>
      <c r="G22" s="276" t="s">
        <v>58</v>
      </c>
      <c r="H22" s="276" t="s">
        <v>59</v>
      </c>
      <c r="I22" s="994" t="s">
        <v>211</v>
      </c>
      <c r="J22" s="392" t="s">
        <v>212</v>
      </c>
      <c r="K22" s="393" t="str">
        <f t="shared" si="5"/>
        <v>E1.P_A.MR3</v>
      </c>
      <c r="L22" s="355" t="s">
        <v>95</v>
      </c>
      <c r="M22" s="356" t="s">
        <v>213</v>
      </c>
      <c r="N22" s="241" t="s">
        <v>214</v>
      </c>
      <c r="O22" s="241" t="s">
        <v>214</v>
      </c>
      <c r="P22" s="394" t="s">
        <v>64</v>
      </c>
      <c r="Q22" s="360" t="str">
        <f t="shared" si="6"/>
        <v>E1.P_A.MR3-MP01-1</v>
      </c>
      <c r="R22" s="361" t="s">
        <v>215</v>
      </c>
      <c r="S22" s="362" t="s">
        <v>216</v>
      </c>
      <c r="T22" s="363">
        <v>1</v>
      </c>
      <c r="U22" s="364">
        <v>2</v>
      </c>
      <c r="V22" s="363" t="s">
        <v>67</v>
      </c>
      <c r="W22" s="251">
        <v>0.5</v>
      </c>
      <c r="X22" s="250">
        <v>0.5</v>
      </c>
      <c r="Y22" s="251">
        <v>0.5</v>
      </c>
      <c r="Z22" s="252">
        <v>0.5</v>
      </c>
      <c r="AA22" s="292"/>
      <c r="AB22" s="293"/>
      <c r="AC22" s="293"/>
      <c r="AD22" s="293"/>
      <c r="AE22" s="293"/>
      <c r="AF22" s="293"/>
      <c r="AG22" s="293"/>
      <c r="AH22" s="293"/>
      <c r="AI22" s="293"/>
      <c r="AJ22" s="293"/>
      <c r="AK22" s="293"/>
      <c r="AL22" s="293"/>
      <c r="AM22" s="293"/>
      <c r="AN22" s="293"/>
      <c r="AO22" s="293"/>
      <c r="AP22" s="293"/>
      <c r="AQ22" s="293"/>
      <c r="AR22" s="293"/>
      <c r="AS22" s="293"/>
      <c r="AT22" s="293"/>
      <c r="AU22" s="293"/>
      <c r="AV22" s="293"/>
      <c r="AW22" s="293"/>
      <c r="AX22" s="293"/>
      <c r="AY22" s="293"/>
      <c r="AZ22" s="293"/>
      <c r="BA22" s="293"/>
      <c r="BB22" s="293"/>
      <c r="BC22" s="294"/>
      <c r="BD22" s="295" t="s">
        <v>68</v>
      </c>
      <c r="BI22" s="296"/>
      <c r="BJ22" s="297"/>
      <c r="BK22" s="9" t="s">
        <v>217</v>
      </c>
      <c r="BL22" s="298" t="s">
        <v>218</v>
      </c>
      <c r="BN22" s="5" t="s">
        <v>135</v>
      </c>
      <c r="BO22" s="262" t="s">
        <v>136</v>
      </c>
      <c r="BP22" s="6" t="s">
        <v>219</v>
      </c>
      <c r="BQ22" s="263" t="s">
        <v>220</v>
      </c>
      <c r="BS22" s="86" t="s">
        <v>80</v>
      </c>
      <c r="BT22" s="86" t="s">
        <v>81</v>
      </c>
      <c r="BU22" s="85" t="s">
        <v>206</v>
      </c>
      <c r="BV22" s="84"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1" t="s">
        <v>193</v>
      </c>
      <c r="EC22" s="302" t="s">
        <v>194</v>
      </c>
      <c r="ED22" s="303" t="s">
        <v>720</v>
      </c>
      <c r="EE22" s="352">
        <v>1</v>
      </c>
      <c r="EF22" s="327">
        <v>4</v>
      </c>
      <c r="EG22" s="264"/>
      <c r="EH22" s="264"/>
      <c r="EI22" s="264"/>
      <c r="EJ22" s="264"/>
      <c r="EL22" s="822" t="s">
        <v>221</v>
      </c>
      <c r="EM22" s="312" t="s">
        <v>215</v>
      </c>
      <c r="EN22" s="268" t="s">
        <v>216</v>
      </c>
      <c r="EO22" s="268">
        <v>1</v>
      </c>
      <c r="EP22" s="268">
        <v>2</v>
      </c>
      <c r="EQ22" s="270">
        <v>0.5</v>
      </c>
      <c r="ER22" s="270">
        <v>0.5</v>
      </c>
      <c r="ES22" s="270">
        <v>0.5</v>
      </c>
      <c r="ET22" s="823">
        <v>0.5</v>
      </c>
    </row>
    <row r="23" spans="1:150" ht="39" customHeight="1" thickBot="1" x14ac:dyDescent="0.25">
      <c r="A23" s="271" t="s">
        <v>53</v>
      </c>
      <c r="B23" s="272" t="s">
        <v>54</v>
      </c>
      <c r="C23" s="273" t="s">
        <v>55</v>
      </c>
      <c r="D23" s="274"/>
      <c r="E23" s="8" t="s">
        <v>57</v>
      </c>
      <c r="F23" s="275" t="str">
        <f t="shared" si="4"/>
        <v>E1.P_A</v>
      </c>
      <c r="G23" s="276" t="s">
        <v>58</v>
      </c>
      <c r="H23" s="276" t="s">
        <v>59</v>
      </c>
      <c r="I23" s="995"/>
      <c r="J23" s="279" t="s">
        <v>212</v>
      </c>
      <c r="K23" s="279" t="str">
        <f t="shared" si="5"/>
        <v>E1.P_A.MR3</v>
      </c>
      <c r="L23" s="280" t="s">
        <v>95</v>
      </c>
      <c r="M23" s="281" t="s">
        <v>213</v>
      </c>
      <c r="N23" s="281" t="s">
        <v>226</v>
      </c>
      <c r="O23" s="281" t="s">
        <v>226</v>
      </c>
      <c r="P23" s="394" t="s">
        <v>87</v>
      </c>
      <c r="Q23" s="372" t="str">
        <f t="shared" si="6"/>
        <v>E1.P_A.MR3-MP02-1</v>
      </c>
      <c r="R23" s="307" t="s">
        <v>227</v>
      </c>
      <c r="S23" s="308" t="s">
        <v>228</v>
      </c>
      <c r="T23" s="287">
        <v>0</v>
      </c>
      <c r="U23" s="288">
        <v>3</v>
      </c>
      <c r="V23" s="287" t="s">
        <v>67</v>
      </c>
      <c r="W23" s="289">
        <v>0</v>
      </c>
      <c r="X23" s="290">
        <v>1</v>
      </c>
      <c r="Y23" s="289">
        <v>1</v>
      </c>
      <c r="Z23" s="291">
        <v>1</v>
      </c>
      <c r="AA23" s="292"/>
      <c r="AB23" s="293"/>
      <c r="AC23" s="293"/>
      <c r="AD23" s="293"/>
      <c r="AE23" s="293"/>
      <c r="AF23" s="293"/>
      <c r="AG23" s="293"/>
      <c r="AH23" s="293"/>
      <c r="AI23" s="293"/>
      <c r="AJ23" s="293"/>
      <c r="AK23" s="293"/>
      <c r="AL23" s="293"/>
      <c r="AM23" s="293"/>
      <c r="AN23" s="293"/>
      <c r="AO23" s="293"/>
      <c r="AP23" s="293"/>
      <c r="AQ23" s="293"/>
      <c r="AR23" s="293"/>
      <c r="AS23" s="293"/>
      <c r="AT23" s="293"/>
      <c r="AU23" s="293"/>
      <c r="AV23" s="293"/>
      <c r="AW23" s="293"/>
      <c r="AX23" s="293"/>
      <c r="AY23" s="293"/>
      <c r="AZ23" s="293"/>
      <c r="BA23" s="293"/>
      <c r="BB23" s="293"/>
      <c r="BC23" s="294"/>
      <c r="BD23" s="295" t="s">
        <v>68</v>
      </c>
      <c r="BI23" s="296"/>
      <c r="BJ23" s="297"/>
      <c r="BK23" s="9" t="s">
        <v>229</v>
      </c>
      <c r="BL23" s="298" t="s">
        <v>230</v>
      </c>
      <c r="BN23" s="12" t="s">
        <v>135</v>
      </c>
      <c r="BO23" s="325" t="s">
        <v>136</v>
      </c>
      <c r="BP23" s="13" t="s">
        <v>231</v>
      </c>
      <c r="BQ23" s="326" t="s">
        <v>232</v>
      </c>
      <c r="BS23" s="84" t="s">
        <v>94</v>
      </c>
      <c r="BT23" s="84" t="s">
        <v>95</v>
      </c>
      <c r="BU23" s="85" t="s">
        <v>221</v>
      </c>
      <c r="BV23" s="84"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1" t="s">
        <v>204</v>
      </c>
      <c r="EC23" s="302" t="s">
        <v>205</v>
      </c>
      <c r="ED23" s="303" t="s">
        <v>532</v>
      </c>
      <c r="EE23" s="352">
        <v>2598</v>
      </c>
      <c r="EF23" s="327">
        <v>3100</v>
      </c>
      <c r="EG23" s="264"/>
      <c r="EH23" s="264"/>
      <c r="EI23" s="264"/>
      <c r="EJ23" s="264"/>
      <c r="EL23" s="822" t="s">
        <v>233</v>
      </c>
      <c r="EM23" s="312" t="s">
        <v>227</v>
      </c>
      <c r="EN23" s="268" t="s">
        <v>228</v>
      </c>
      <c r="EO23" s="268">
        <v>0</v>
      </c>
      <c r="EP23" s="268">
        <v>3</v>
      </c>
      <c r="EQ23" s="269">
        <v>0</v>
      </c>
      <c r="ER23" s="808">
        <v>0</v>
      </c>
      <c r="ES23" s="269">
        <v>1</v>
      </c>
      <c r="ET23" s="824">
        <v>2</v>
      </c>
    </row>
    <row r="24" spans="1:150" ht="48.75" customHeight="1" thickBot="1" x14ac:dyDescent="0.25">
      <c r="A24" s="271" t="s">
        <v>53</v>
      </c>
      <c r="B24" s="272" t="s">
        <v>54</v>
      </c>
      <c r="C24" s="273" t="s">
        <v>55</v>
      </c>
      <c r="D24" s="274"/>
      <c r="E24" s="8" t="s">
        <v>57</v>
      </c>
      <c r="F24" s="275" t="str">
        <f t="shared" si="4"/>
        <v>E1.P_A</v>
      </c>
      <c r="G24" s="276" t="s">
        <v>58</v>
      </c>
      <c r="H24" s="276" t="s">
        <v>59</v>
      </c>
      <c r="I24" s="995"/>
      <c r="J24" s="279" t="s">
        <v>212</v>
      </c>
      <c r="K24" s="279" t="str">
        <f t="shared" si="5"/>
        <v>E1.P_A.MR3</v>
      </c>
      <c r="L24" s="280" t="s">
        <v>95</v>
      </c>
      <c r="M24" s="281" t="s">
        <v>213</v>
      </c>
      <c r="N24" s="281" t="s">
        <v>226</v>
      </c>
      <c r="O24" s="281" t="s">
        <v>226</v>
      </c>
      <c r="P24" s="394" t="s">
        <v>99</v>
      </c>
      <c r="Q24" s="372" t="str">
        <f t="shared" si="6"/>
        <v>E1.P_A.MR3-MP03-1</v>
      </c>
      <c r="R24" s="307" t="s">
        <v>236</v>
      </c>
      <c r="S24" s="308" t="s">
        <v>237</v>
      </c>
      <c r="T24" s="313">
        <v>1</v>
      </c>
      <c r="U24" s="314">
        <v>1</v>
      </c>
      <c r="V24" s="313" t="s">
        <v>102</v>
      </c>
      <c r="W24" s="289">
        <v>1</v>
      </c>
      <c r="X24" s="290">
        <v>1</v>
      </c>
      <c r="Y24" s="289">
        <v>1</v>
      </c>
      <c r="Z24" s="291">
        <v>1</v>
      </c>
      <c r="AA24" s="318"/>
      <c r="AB24" s="319"/>
      <c r="AC24" s="319"/>
      <c r="AD24" s="319"/>
      <c r="AE24" s="319"/>
      <c r="AF24" s="319"/>
      <c r="AG24" s="319"/>
      <c r="AH24" s="319"/>
      <c r="AI24" s="319"/>
      <c r="AJ24" s="319"/>
      <c r="AK24" s="319"/>
      <c r="AL24" s="319"/>
      <c r="AM24" s="319"/>
      <c r="AN24" s="319"/>
      <c r="AO24" s="319"/>
      <c r="AP24" s="319"/>
      <c r="AQ24" s="319"/>
      <c r="AR24" s="319"/>
      <c r="AS24" s="319"/>
      <c r="AT24" s="319"/>
      <c r="AU24" s="319"/>
      <c r="AV24" s="319"/>
      <c r="AW24" s="319"/>
      <c r="AX24" s="319"/>
      <c r="AY24" s="319"/>
      <c r="AZ24" s="319"/>
      <c r="BA24" s="319"/>
      <c r="BB24" s="319"/>
      <c r="BC24" s="320"/>
      <c r="BD24" s="295" t="s">
        <v>68</v>
      </c>
      <c r="BI24" s="296"/>
      <c r="BJ24" s="297"/>
      <c r="BK24" s="16" t="s">
        <v>238</v>
      </c>
      <c r="BL24" s="367" t="s">
        <v>239</v>
      </c>
      <c r="BN24" s="14" t="s">
        <v>145</v>
      </c>
      <c r="BO24" s="350" t="s">
        <v>146</v>
      </c>
      <c r="BP24" s="15" t="s">
        <v>240</v>
      </c>
      <c r="BQ24" s="351" t="s">
        <v>241</v>
      </c>
      <c r="BS24" s="86" t="s">
        <v>94</v>
      </c>
      <c r="BT24" s="86" t="s">
        <v>95</v>
      </c>
      <c r="BU24" s="85" t="s">
        <v>233</v>
      </c>
      <c r="BV24" s="84"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1" t="s">
        <v>219</v>
      </c>
      <c r="EC24" s="302" t="s">
        <v>220</v>
      </c>
      <c r="ED24" s="303" t="s">
        <v>754</v>
      </c>
      <c r="EE24" s="352">
        <v>1</v>
      </c>
      <c r="EF24" s="327">
        <v>3</v>
      </c>
      <c r="EG24" s="264"/>
      <c r="EH24" s="264"/>
      <c r="EI24" s="264"/>
      <c r="EJ24" s="264"/>
      <c r="EL24" s="822" t="s">
        <v>242</v>
      </c>
      <c r="EM24" s="312" t="s">
        <v>236</v>
      </c>
      <c r="EN24" s="268" t="s">
        <v>237</v>
      </c>
      <c r="EO24" s="269">
        <v>100</v>
      </c>
      <c r="EP24" s="269">
        <v>100</v>
      </c>
      <c r="EQ24" s="269">
        <v>100</v>
      </c>
      <c r="ER24" s="269">
        <v>100</v>
      </c>
      <c r="ES24" s="269">
        <v>100</v>
      </c>
      <c r="ET24" s="820">
        <v>100</v>
      </c>
    </row>
    <row r="25" spans="1:150" ht="54" customHeight="1" thickBot="1" x14ac:dyDescent="0.25">
      <c r="A25" s="271" t="s">
        <v>53</v>
      </c>
      <c r="B25" s="272" t="s">
        <v>54</v>
      </c>
      <c r="C25" s="273" t="s">
        <v>55</v>
      </c>
      <c r="D25" s="274"/>
      <c r="E25" s="8" t="s">
        <v>57</v>
      </c>
      <c r="F25" s="275" t="str">
        <f t="shared" si="4"/>
        <v>E1.P_A</v>
      </c>
      <c r="G25" s="276" t="s">
        <v>58</v>
      </c>
      <c r="H25" s="276" t="s">
        <v>59</v>
      </c>
      <c r="I25" s="995"/>
      <c r="J25" s="279" t="s">
        <v>212</v>
      </c>
      <c r="K25" s="279" t="str">
        <f t="shared" si="5"/>
        <v>E1.P_A.MR3</v>
      </c>
      <c r="L25" s="280" t="s">
        <v>95</v>
      </c>
      <c r="M25" s="281" t="s">
        <v>213</v>
      </c>
      <c r="N25" s="281" t="s">
        <v>226</v>
      </c>
      <c r="O25" s="281" t="s">
        <v>226</v>
      </c>
      <c r="P25" s="394" t="s">
        <v>112</v>
      </c>
      <c r="Q25" s="372" t="str">
        <f t="shared" si="6"/>
        <v>E1.P_A.MR3-MP04-1</v>
      </c>
      <c r="R25" s="307" t="s">
        <v>247</v>
      </c>
      <c r="S25" s="308" t="s">
        <v>248</v>
      </c>
      <c r="T25" s="287">
        <v>3</v>
      </c>
      <c r="U25" s="288">
        <v>3</v>
      </c>
      <c r="V25" s="287" t="s">
        <v>102</v>
      </c>
      <c r="W25" s="289">
        <v>3</v>
      </c>
      <c r="X25" s="290">
        <v>3</v>
      </c>
      <c r="Y25" s="289">
        <v>3</v>
      </c>
      <c r="Z25" s="291">
        <v>3</v>
      </c>
      <c r="AA25" s="292"/>
      <c r="AB25" s="293"/>
      <c r="AC25" s="293"/>
      <c r="AD25" s="293"/>
      <c r="AE25" s="293"/>
      <c r="AF25" s="293"/>
      <c r="AG25" s="293"/>
      <c r="AH25" s="293"/>
      <c r="AI25" s="293"/>
      <c r="AJ25" s="293"/>
      <c r="AK25" s="293"/>
      <c r="AL25" s="293"/>
      <c r="AM25" s="293"/>
      <c r="AN25" s="293"/>
      <c r="AO25" s="293"/>
      <c r="AP25" s="293"/>
      <c r="AQ25" s="293"/>
      <c r="AR25" s="293"/>
      <c r="AS25" s="293"/>
      <c r="AT25" s="293"/>
      <c r="AU25" s="293"/>
      <c r="AV25" s="293"/>
      <c r="AW25" s="293"/>
      <c r="AX25" s="293"/>
      <c r="AY25" s="293"/>
      <c r="AZ25" s="293"/>
      <c r="BA25" s="293"/>
      <c r="BB25" s="293"/>
      <c r="BC25" s="294"/>
      <c r="BD25" s="295" t="s">
        <v>68</v>
      </c>
      <c r="BI25" s="373" t="s">
        <v>90</v>
      </c>
      <c r="BJ25" s="374" t="s">
        <v>91</v>
      </c>
      <c r="BK25" s="4" t="s">
        <v>249</v>
      </c>
      <c r="BL25" s="261" t="s">
        <v>250</v>
      </c>
      <c r="BN25" s="14" t="s">
        <v>159</v>
      </c>
      <c r="BO25" s="350" t="s">
        <v>160</v>
      </c>
      <c r="BP25" s="15" t="s">
        <v>251</v>
      </c>
      <c r="BQ25" s="351" t="s">
        <v>252</v>
      </c>
      <c r="BS25" s="86" t="s">
        <v>94</v>
      </c>
      <c r="BT25" s="86" t="s">
        <v>95</v>
      </c>
      <c r="BU25" s="85" t="s">
        <v>242</v>
      </c>
      <c r="BV25" s="84"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1" t="s">
        <v>231</v>
      </c>
      <c r="EC25" s="302" t="s">
        <v>232</v>
      </c>
      <c r="ED25" s="303" t="s">
        <v>754</v>
      </c>
      <c r="EE25" s="352">
        <v>1</v>
      </c>
      <c r="EF25" s="327">
        <v>1</v>
      </c>
      <c r="EG25" s="264"/>
      <c r="EH25" s="264"/>
      <c r="EI25" s="264"/>
      <c r="EJ25" s="264"/>
      <c r="EL25" s="822" t="s">
        <v>253</v>
      </c>
      <c r="EM25" s="312" t="s">
        <v>247</v>
      </c>
      <c r="EN25" s="268" t="s">
        <v>248</v>
      </c>
      <c r="EO25" s="268">
        <v>3</v>
      </c>
      <c r="EP25" s="268">
        <v>3</v>
      </c>
      <c r="EQ25" s="269">
        <v>3</v>
      </c>
      <c r="ER25" s="269">
        <v>3</v>
      </c>
      <c r="ES25" s="269">
        <v>3</v>
      </c>
      <c r="ET25" s="820">
        <v>3</v>
      </c>
    </row>
    <row r="26" spans="1:150" ht="37.5" customHeight="1" thickBot="1" x14ac:dyDescent="0.25">
      <c r="A26" s="271" t="s">
        <v>53</v>
      </c>
      <c r="B26" s="272" t="s">
        <v>54</v>
      </c>
      <c r="C26" s="273" t="s">
        <v>55</v>
      </c>
      <c r="D26" s="274"/>
      <c r="E26" s="8" t="s">
        <v>57</v>
      </c>
      <c r="F26" s="275" t="str">
        <f t="shared" si="4"/>
        <v>E1.P_A</v>
      </c>
      <c r="G26" s="276" t="s">
        <v>58</v>
      </c>
      <c r="H26" s="276" t="s">
        <v>59</v>
      </c>
      <c r="I26" s="996"/>
      <c r="J26" s="395" t="s">
        <v>212</v>
      </c>
      <c r="K26" s="395" t="str">
        <f t="shared" si="5"/>
        <v>E1.P_A.MR3</v>
      </c>
      <c r="L26" s="381" t="s">
        <v>95</v>
      </c>
      <c r="M26" s="281" t="s">
        <v>213</v>
      </c>
      <c r="N26" s="382" t="s">
        <v>226</v>
      </c>
      <c r="O26" s="382" t="s">
        <v>226</v>
      </c>
      <c r="P26" s="394" t="s">
        <v>122</v>
      </c>
      <c r="Q26" s="396" t="str">
        <f t="shared" si="6"/>
        <v>E1.P_A.MR3-MP05-1</v>
      </c>
      <c r="R26" s="330" t="s">
        <v>256</v>
      </c>
      <c r="S26" s="331" t="s">
        <v>257</v>
      </c>
      <c r="T26" s="332">
        <v>0</v>
      </c>
      <c r="U26" s="333">
        <v>1</v>
      </c>
      <c r="V26" s="345" t="s">
        <v>67</v>
      </c>
      <c r="W26" s="347">
        <v>0</v>
      </c>
      <c r="X26" s="348">
        <v>0</v>
      </c>
      <c r="Y26" s="397">
        <v>0.5</v>
      </c>
      <c r="Z26" s="398">
        <v>0.5</v>
      </c>
      <c r="AA26" s="292"/>
      <c r="AB26" s="293"/>
      <c r="AC26" s="293"/>
      <c r="AD26" s="293"/>
      <c r="AE26" s="293"/>
      <c r="AF26" s="293"/>
      <c r="AG26" s="293"/>
      <c r="AH26" s="293"/>
      <c r="AI26" s="293"/>
      <c r="AJ26" s="293"/>
      <c r="AK26" s="293"/>
      <c r="AL26" s="293"/>
      <c r="AM26" s="293"/>
      <c r="AN26" s="293"/>
      <c r="AO26" s="293"/>
      <c r="AP26" s="293"/>
      <c r="AQ26" s="293"/>
      <c r="AR26" s="293"/>
      <c r="AS26" s="293"/>
      <c r="AT26" s="293"/>
      <c r="AU26" s="293"/>
      <c r="AV26" s="293"/>
      <c r="AW26" s="293"/>
      <c r="AX26" s="293"/>
      <c r="AY26" s="293"/>
      <c r="AZ26" s="293"/>
      <c r="BA26" s="293"/>
      <c r="BB26" s="293"/>
      <c r="BC26" s="294"/>
      <c r="BD26" s="295" t="s">
        <v>68</v>
      </c>
      <c r="BI26" s="296"/>
      <c r="BJ26" s="297"/>
      <c r="BK26" s="9" t="s">
        <v>258</v>
      </c>
      <c r="BL26" s="298" t="s">
        <v>259</v>
      </c>
      <c r="BN26" s="14" t="s">
        <v>171</v>
      </c>
      <c r="BO26" s="350" t="s">
        <v>172</v>
      </c>
      <c r="BP26" s="15" t="s">
        <v>260</v>
      </c>
      <c r="BQ26" s="351" t="s">
        <v>261</v>
      </c>
      <c r="BS26" s="86" t="s">
        <v>94</v>
      </c>
      <c r="BT26" s="86" t="s">
        <v>95</v>
      </c>
      <c r="BU26" s="85" t="s">
        <v>253</v>
      </c>
      <c r="BV26" s="84"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1" t="s">
        <v>240</v>
      </c>
      <c r="EC26" s="302" t="s">
        <v>241</v>
      </c>
      <c r="ED26" s="303" t="s">
        <v>774</v>
      </c>
      <c r="EE26" s="352">
        <v>952</v>
      </c>
      <c r="EF26" s="327">
        <v>952</v>
      </c>
      <c r="EG26" s="264"/>
      <c r="EH26" s="264"/>
      <c r="EI26" s="264"/>
      <c r="EJ26" s="264"/>
      <c r="EL26" s="822" t="s">
        <v>262</v>
      </c>
      <c r="EM26" s="312" t="s">
        <v>256</v>
      </c>
      <c r="EN26" s="268" t="s">
        <v>257</v>
      </c>
      <c r="EO26" s="268">
        <v>0</v>
      </c>
      <c r="EP26" s="268">
        <v>1</v>
      </c>
      <c r="EQ26" s="269">
        <v>0</v>
      </c>
      <c r="ER26" s="269">
        <v>0</v>
      </c>
      <c r="ES26" s="270">
        <v>0.5</v>
      </c>
      <c r="ET26" s="823">
        <v>0.5</v>
      </c>
    </row>
    <row r="27" spans="1:150" ht="81" customHeight="1" thickBot="1" x14ac:dyDescent="0.25">
      <c r="A27" s="271" t="s">
        <v>53</v>
      </c>
      <c r="B27" s="272" t="s">
        <v>54</v>
      </c>
      <c r="C27" s="273" t="s">
        <v>55</v>
      </c>
      <c r="D27" s="274"/>
      <c r="E27" s="8" t="s">
        <v>57</v>
      </c>
      <c r="F27" s="275" t="str">
        <f t="shared" si="4"/>
        <v>E1.P_A</v>
      </c>
      <c r="G27" s="276" t="s">
        <v>58</v>
      </c>
      <c r="H27" s="276" t="s">
        <v>59</v>
      </c>
      <c r="I27" s="399" t="s">
        <v>267</v>
      </c>
      <c r="J27" s="392" t="s">
        <v>268</v>
      </c>
      <c r="K27" s="393" t="str">
        <f t="shared" si="5"/>
        <v>E1.P_A.MR4</v>
      </c>
      <c r="L27" s="355" t="s">
        <v>108</v>
      </c>
      <c r="M27" s="356" t="s">
        <v>269</v>
      </c>
      <c r="N27" s="400">
        <v>0</v>
      </c>
      <c r="O27" s="401">
        <v>0.04</v>
      </c>
      <c r="P27" s="402" t="s">
        <v>64</v>
      </c>
      <c r="Q27" s="243" t="str">
        <f t="shared" si="6"/>
        <v>E1.P_A.MR4-MP01-1</v>
      </c>
      <c r="R27" s="361" t="s">
        <v>270</v>
      </c>
      <c r="S27" s="362" t="s">
        <v>271</v>
      </c>
      <c r="T27" s="363">
        <v>2</v>
      </c>
      <c r="U27" s="364">
        <v>2</v>
      </c>
      <c r="V27" s="363" t="s">
        <v>102</v>
      </c>
      <c r="W27" s="251">
        <v>0.5</v>
      </c>
      <c r="X27" s="250">
        <v>0.05</v>
      </c>
      <c r="Y27" s="251">
        <v>0.5</v>
      </c>
      <c r="Z27" s="252">
        <v>0.5</v>
      </c>
      <c r="AA27" s="292"/>
      <c r="AB27" s="293"/>
      <c r="AC27" s="293"/>
      <c r="AD27" s="293"/>
      <c r="AE27" s="293"/>
      <c r="AF27" s="293"/>
      <c r="AG27" s="293"/>
      <c r="AH27" s="293"/>
      <c r="AI27" s="293"/>
      <c r="AJ27" s="293"/>
      <c r="AK27" s="293"/>
      <c r="AL27" s="293"/>
      <c r="AM27" s="293"/>
      <c r="AN27" s="293"/>
      <c r="AO27" s="293"/>
      <c r="AP27" s="293"/>
      <c r="AQ27" s="293"/>
      <c r="AR27" s="293"/>
      <c r="AS27" s="293"/>
      <c r="AT27" s="293"/>
      <c r="AU27" s="293"/>
      <c r="AV27" s="293"/>
      <c r="AW27" s="293"/>
      <c r="AX27" s="293"/>
      <c r="AY27" s="293"/>
      <c r="AZ27" s="293"/>
      <c r="BA27" s="293"/>
      <c r="BB27" s="293"/>
      <c r="BC27" s="294"/>
      <c r="BD27" s="295" t="s">
        <v>68</v>
      </c>
      <c r="BI27" s="296"/>
      <c r="BJ27" s="297"/>
      <c r="BK27" s="9" t="s">
        <v>272</v>
      </c>
      <c r="BL27" s="298" t="s">
        <v>273</v>
      </c>
      <c r="BN27" s="14" t="s">
        <v>180</v>
      </c>
      <c r="BO27" s="350" t="s">
        <v>181</v>
      </c>
      <c r="BP27" s="15" t="s">
        <v>274</v>
      </c>
      <c r="BQ27" s="351" t="s">
        <v>275</v>
      </c>
      <c r="BS27" s="86" t="s">
        <v>94</v>
      </c>
      <c r="BT27" s="86" t="s">
        <v>95</v>
      </c>
      <c r="BU27" s="85" t="s">
        <v>262</v>
      </c>
      <c r="BV27" s="84"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1" t="s">
        <v>251</v>
      </c>
      <c r="EC27" s="302" t="s">
        <v>252</v>
      </c>
      <c r="ED27" s="303" t="s">
        <v>804</v>
      </c>
      <c r="EE27" s="352">
        <v>164</v>
      </c>
      <c r="EF27" s="327">
        <v>131</v>
      </c>
      <c r="EG27" s="264"/>
      <c r="EH27" s="264"/>
      <c r="EI27" s="264"/>
      <c r="EJ27" s="264"/>
      <c r="EL27" s="816" t="s">
        <v>276</v>
      </c>
      <c r="EM27" s="312" t="s">
        <v>270</v>
      </c>
      <c r="EN27" s="268" t="s">
        <v>271</v>
      </c>
      <c r="EO27" s="268">
        <v>2</v>
      </c>
      <c r="EP27" s="268">
        <v>2</v>
      </c>
      <c r="EQ27" s="802">
        <v>0.5</v>
      </c>
      <c r="ER27" s="802">
        <v>0.5</v>
      </c>
      <c r="ES27" s="802">
        <v>0.5</v>
      </c>
      <c r="ET27" s="825">
        <v>0.5</v>
      </c>
    </row>
    <row r="28" spans="1:150" ht="66" customHeight="1" thickBot="1" x14ac:dyDescent="0.25">
      <c r="A28" s="271" t="s">
        <v>53</v>
      </c>
      <c r="B28" s="272" t="s">
        <v>54</v>
      </c>
      <c r="C28" s="273" t="s">
        <v>55</v>
      </c>
      <c r="D28" s="274"/>
      <c r="E28" s="8" t="s">
        <v>57</v>
      </c>
      <c r="F28" s="275" t="str">
        <f t="shared" si="4"/>
        <v>E1.P_A</v>
      </c>
      <c r="G28" s="276" t="s">
        <v>58</v>
      </c>
      <c r="H28" s="276" t="s">
        <v>59</v>
      </c>
      <c r="I28" s="403"/>
      <c r="J28" s="279" t="s">
        <v>268</v>
      </c>
      <c r="K28" s="279" t="str">
        <f t="shared" si="5"/>
        <v>E1.P_A.MR4</v>
      </c>
      <c r="L28" s="404" t="s">
        <v>108</v>
      </c>
      <c r="M28" s="405" t="s">
        <v>269</v>
      </c>
      <c r="N28" s="406">
        <v>0</v>
      </c>
      <c r="O28" s="407">
        <v>0.04</v>
      </c>
      <c r="P28" s="402" t="s">
        <v>87</v>
      </c>
      <c r="Q28" s="284" t="str">
        <f t="shared" si="6"/>
        <v>E1.P_A.MR4-MP02-1</v>
      </c>
      <c r="R28" s="307" t="s">
        <v>281</v>
      </c>
      <c r="S28" s="308" t="s">
        <v>282</v>
      </c>
      <c r="T28" s="287">
        <v>1</v>
      </c>
      <c r="U28" s="288">
        <v>3</v>
      </c>
      <c r="V28" s="287" t="s">
        <v>67</v>
      </c>
      <c r="W28" s="315">
        <v>0.75</v>
      </c>
      <c r="X28" s="316">
        <v>0.75</v>
      </c>
      <c r="Y28" s="315">
        <v>0.75</v>
      </c>
      <c r="Z28" s="317">
        <v>0.75</v>
      </c>
      <c r="AA28" s="292"/>
      <c r="AB28" s="293"/>
      <c r="AC28" s="293"/>
      <c r="AD28" s="293"/>
      <c r="AE28" s="293"/>
      <c r="AF28" s="293"/>
      <c r="AG28" s="293"/>
      <c r="AH28" s="293"/>
      <c r="AI28" s="293"/>
      <c r="AJ28" s="293"/>
      <c r="AK28" s="293"/>
      <c r="AL28" s="293"/>
      <c r="AM28" s="293"/>
      <c r="AN28" s="293"/>
      <c r="AO28" s="293"/>
      <c r="AP28" s="293"/>
      <c r="AQ28" s="293"/>
      <c r="AR28" s="293"/>
      <c r="AS28" s="293"/>
      <c r="AT28" s="293"/>
      <c r="AU28" s="293"/>
      <c r="AV28" s="293"/>
      <c r="AW28" s="293"/>
      <c r="AX28" s="293"/>
      <c r="AY28" s="293"/>
      <c r="AZ28" s="293"/>
      <c r="BA28" s="293"/>
      <c r="BB28" s="293"/>
      <c r="BC28" s="294"/>
      <c r="BD28" s="295" t="s">
        <v>68</v>
      </c>
      <c r="BI28" s="296"/>
      <c r="BJ28" s="297"/>
      <c r="BK28" s="9" t="s">
        <v>283</v>
      </c>
      <c r="BL28" s="298" t="s">
        <v>284</v>
      </c>
      <c r="BN28" s="14" t="s">
        <v>191</v>
      </c>
      <c r="BO28" s="350" t="s">
        <v>192</v>
      </c>
      <c r="BP28" s="15" t="s">
        <v>285</v>
      </c>
      <c r="BQ28" s="351" t="s">
        <v>286</v>
      </c>
      <c r="BS28" s="84" t="s">
        <v>107</v>
      </c>
      <c r="BT28" s="84" t="s">
        <v>108</v>
      </c>
      <c r="BU28" s="85" t="s">
        <v>276</v>
      </c>
      <c r="BV28" s="84"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1" t="s">
        <v>260</v>
      </c>
      <c r="EC28" s="302" t="s">
        <v>261</v>
      </c>
      <c r="ED28" s="303" t="s">
        <v>532</v>
      </c>
      <c r="EE28" s="352">
        <v>260</v>
      </c>
      <c r="EF28" s="327">
        <v>318</v>
      </c>
      <c r="EG28" s="264"/>
      <c r="EH28" s="264"/>
      <c r="EI28" s="264"/>
      <c r="EJ28" s="264"/>
      <c r="EL28" s="816" t="s">
        <v>287</v>
      </c>
      <c r="EM28" s="312" t="s">
        <v>281</v>
      </c>
      <c r="EN28" s="268" t="s">
        <v>282</v>
      </c>
      <c r="EO28" s="268">
        <v>1</v>
      </c>
      <c r="EP28" s="268">
        <v>3</v>
      </c>
      <c r="EQ28" s="323">
        <v>0.75</v>
      </c>
      <c r="ER28" s="323">
        <v>0.75</v>
      </c>
      <c r="ES28" s="323">
        <v>0.75</v>
      </c>
      <c r="ET28" s="819">
        <v>0.75</v>
      </c>
    </row>
    <row r="29" spans="1:150" ht="64.5" customHeight="1" thickBot="1" x14ac:dyDescent="0.25">
      <c r="A29" s="271" t="s">
        <v>53</v>
      </c>
      <c r="B29" s="272" t="s">
        <v>54</v>
      </c>
      <c r="C29" s="273" t="s">
        <v>55</v>
      </c>
      <c r="D29" s="274"/>
      <c r="E29" s="8" t="s">
        <v>57</v>
      </c>
      <c r="F29" s="275" t="str">
        <f t="shared" si="4"/>
        <v>E1.P_A</v>
      </c>
      <c r="G29" s="276" t="s">
        <v>58</v>
      </c>
      <c r="H29" s="276" t="s">
        <v>59</v>
      </c>
      <c r="I29" s="403"/>
      <c r="J29" s="279" t="s">
        <v>268</v>
      </c>
      <c r="K29" s="279" t="str">
        <f t="shared" si="5"/>
        <v>E1.P_A.MR4</v>
      </c>
      <c r="L29" s="404" t="s">
        <v>108</v>
      </c>
      <c r="M29" s="405" t="s">
        <v>269</v>
      </c>
      <c r="N29" s="406">
        <v>0</v>
      </c>
      <c r="O29" s="407">
        <v>0.04</v>
      </c>
      <c r="P29" s="402" t="s">
        <v>99</v>
      </c>
      <c r="Q29" s="284" t="str">
        <f t="shared" si="6"/>
        <v>E1.P_A.MR4-MP03-1</v>
      </c>
      <c r="R29" s="307" t="s">
        <v>292</v>
      </c>
      <c r="S29" s="308" t="s">
        <v>293</v>
      </c>
      <c r="T29" s="287">
        <v>1</v>
      </c>
      <c r="U29" s="288">
        <v>3</v>
      </c>
      <c r="V29" s="287" t="s">
        <v>67</v>
      </c>
      <c r="W29" s="315">
        <v>0.75</v>
      </c>
      <c r="X29" s="316">
        <v>0.75</v>
      </c>
      <c r="Y29" s="315">
        <v>0.75</v>
      </c>
      <c r="Z29" s="317">
        <v>0.75</v>
      </c>
      <c r="AA29" s="292"/>
      <c r="AB29" s="293"/>
      <c r="AC29" s="293"/>
      <c r="AD29" s="293"/>
      <c r="AE29" s="293"/>
      <c r="AF29" s="293"/>
      <c r="AG29" s="293"/>
      <c r="AH29" s="293"/>
      <c r="AI29" s="293"/>
      <c r="AJ29" s="293"/>
      <c r="AK29" s="293"/>
      <c r="AL29" s="293"/>
      <c r="AM29" s="293"/>
      <c r="AN29" s="293"/>
      <c r="AO29" s="293"/>
      <c r="AP29" s="293"/>
      <c r="AQ29" s="293"/>
      <c r="AR29" s="293"/>
      <c r="AS29" s="293"/>
      <c r="AT29" s="293"/>
      <c r="AU29" s="293"/>
      <c r="AV29" s="293"/>
      <c r="AW29" s="293"/>
      <c r="AX29" s="293"/>
      <c r="AY29" s="293"/>
      <c r="AZ29" s="293"/>
      <c r="BA29" s="293"/>
      <c r="BB29" s="293"/>
      <c r="BC29" s="294"/>
      <c r="BD29" s="295" t="s">
        <v>68</v>
      </c>
      <c r="BI29" s="296"/>
      <c r="BJ29" s="297"/>
      <c r="BK29" s="9" t="s">
        <v>294</v>
      </c>
      <c r="BL29" s="298" t="s">
        <v>295</v>
      </c>
      <c r="BN29" s="14" t="s">
        <v>202</v>
      </c>
      <c r="BO29" s="350" t="s">
        <v>203</v>
      </c>
      <c r="BP29" s="15" t="s">
        <v>296</v>
      </c>
      <c r="BQ29" s="351" t="s">
        <v>297</v>
      </c>
      <c r="BS29" s="86" t="s">
        <v>107</v>
      </c>
      <c r="BT29" s="86" t="s">
        <v>108</v>
      </c>
      <c r="BU29" s="85" t="s">
        <v>287</v>
      </c>
      <c r="BV29" s="84"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1" t="s">
        <v>274</v>
      </c>
      <c r="EC29" s="302" t="s">
        <v>275</v>
      </c>
      <c r="ED29" s="303" t="s">
        <v>829</v>
      </c>
      <c r="EE29" s="304">
        <v>4.75</v>
      </c>
      <c r="EF29" s="327">
        <v>4.5</v>
      </c>
      <c r="EG29" s="264"/>
      <c r="EH29" s="264"/>
      <c r="EI29" s="264"/>
      <c r="EJ29" s="264"/>
      <c r="EL29" s="816" t="s">
        <v>298</v>
      </c>
      <c r="EM29" s="312" t="s">
        <v>292</v>
      </c>
      <c r="EN29" s="268" t="s">
        <v>293</v>
      </c>
      <c r="EO29" s="268">
        <v>1</v>
      </c>
      <c r="EP29" s="268">
        <v>3</v>
      </c>
      <c r="EQ29" s="323">
        <v>0.75</v>
      </c>
      <c r="ER29" s="323">
        <v>0.75</v>
      </c>
      <c r="ES29" s="323">
        <v>0.75</v>
      </c>
      <c r="ET29" s="819">
        <v>0.75</v>
      </c>
    </row>
    <row r="30" spans="1:150" ht="52.5" customHeight="1" thickBot="1" x14ac:dyDescent="0.25">
      <c r="A30" s="271" t="s">
        <v>53</v>
      </c>
      <c r="B30" s="272" t="s">
        <v>54</v>
      </c>
      <c r="C30" s="273" t="s">
        <v>55</v>
      </c>
      <c r="D30" s="274"/>
      <c r="E30" s="8" t="s">
        <v>57</v>
      </c>
      <c r="F30" s="275" t="str">
        <f t="shared" si="4"/>
        <v>E1.P_A</v>
      </c>
      <c r="G30" s="276" t="s">
        <v>58</v>
      </c>
      <c r="H30" s="276" t="s">
        <v>59</v>
      </c>
      <c r="I30" s="403"/>
      <c r="J30" s="279" t="s">
        <v>268</v>
      </c>
      <c r="K30" s="279" t="str">
        <f t="shared" si="5"/>
        <v>E1.P_A.MR4</v>
      </c>
      <c r="L30" s="404" t="s">
        <v>108</v>
      </c>
      <c r="M30" s="405" t="s">
        <v>269</v>
      </c>
      <c r="N30" s="406">
        <v>0</v>
      </c>
      <c r="O30" s="407">
        <v>0.04</v>
      </c>
      <c r="P30" s="402" t="s">
        <v>112</v>
      </c>
      <c r="Q30" s="284" t="str">
        <f t="shared" si="6"/>
        <v>E1.P_A.MR4-MP04-1</v>
      </c>
      <c r="R30" s="307" t="s">
        <v>304</v>
      </c>
      <c r="S30" s="308" t="s">
        <v>305</v>
      </c>
      <c r="T30" s="287">
        <v>0</v>
      </c>
      <c r="U30" s="288">
        <v>1</v>
      </c>
      <c r="V30" s="287" t="s">
        <v>67</v>
      </c>
      <c r="W30" s="315">
        <v>0.25</v>
      </c>
      <c r="X30" s="316">
        <v>0.25</v>
      </c>
      <c r="Y30" s="315">
        <v>0.25</v>
      </c>
      <c r="Z30" s="317">
        <v>0.25</v>
      </c>
      <c r="AA30" s="292"/>
      <c r="AB30" s="293"/>
      <c r="AC30" s="293"/>
      <c r="AD30" s="293"/>
      <c r="AE30" s="293"/>
      <c r="AF30" s="293"/>
      <c r="AG30" s="293"/>
      <c r="AH30" s="293"/>
      <c r="AI30" s="293"/>
      <c r="AJ30" s="293"/>
      <c r="AK30" s="293"/>
      <c r="AL30" s="293"/>
      <c r="AM30" s="293"/>
      <c r="AN30" s="293"/>
      <c r="AO30" s="293"/>
      <c r="AP30" s="293"/>
      <c r="AQ30" s="293"/>
      <c r="AR30" s="293"/>
      <c r="AS30" s="293"/>
      <c r="AT30" s="293"/>
      <c r="AU30" s="293"/>
      <c r="AV30" s="293"/>
      <c r="AW30" s="293"/>
      <c r="AX30" s="293"/>
      <c r="AY30" s="293"/>
      <c r="AZ30" s="293"/>
      <c r="BA30" s="293"/>
      <c r="BB30" s="293"/>
      <c r="BC30" s="294"/>
      <c r="BD30" s="295" t="s">
        <v>68</v>
      </c>
      <c r="BI30" s="296"/>
      <c r="BJ30" s="297"/>
      <c r="BK30" s="9" t="s">
        <v>306</v>
      </c>
      <c r="BL30" s="298" t="s">
        <v>307</v>
      </c>
      <c r="BN30" s="14" t="s">
        <v>217</v>
      </c>
      <c r="BO30" s="350" t="s">
        <v>218</v>
      </c>
      <c r="BP30" s="15" t="s">
        <v>308</v>
      </c>
      <c r="BQ30" s="351" t="s">
        <v>309</v>
      </c>
      <c r="BS30" s="86" t="s">
        <v>107</v>
      </c>
      <c r="BT30" s="86" t="s">
        <v>108</v>
      </c>
      <c r="BU30" s="85" t="s">
        <v>298</v>
      </c>
      <c r="BV30" s="84"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1" t="s">
        <v>285</v>
      </c>
      <c r="EC30" s="302" t="s">
        <v>286</v>
      </c>
      <c r="ED30" s="303" t="s">
        <v>872</v>
      </c>
      <c r="EE30" s="352">
        <v>184</v>
      </c>
      <c r="EF30" s="352">
        <v>230</v>
      </c>
      <c r="EG30" s="264"/>
      <c r="EH30" s="264"/>
      <c r="EI30" s="264"/>
      <c r="EJ30" s="264"/>
      <c r="EL30" s="816" t="s">
        <v>310</v>
      </c>
      <c r="EM30" s="312" t="s">
        <v>304</v>
      </c>
      <c r="EN30" s="268" t="s">
        <v>305</v>
      </c>
      <c r="EO30" s="268">
        <v>0</v>
      </c>
      <c r="EP30" s="268">
        <v>1</v>
      </c>
      <c r="EQ30" s="323">
        <v>0.25</v>
      </c>
      <c r="ER30" s="323">
        <v>0.25</v>
      </c>
      <c r="ES30" s="323">
        <v>0.25</v>
      </c>
      <c r="ET30" s="819">
        <v>0.25</v>
      </c>
    </row>
    <row r="31" spans="1:150" ht="75" customHeight="1" thickBot="1" x14ac:dyDescent="0.25">
      <c r="A31" s="271" t="s">
        <v>53</v>
      </c>
      <c r="B31" s="272" t="s">
        <v>54</v>
      </c>
      <c r="C31" s="273" t="s">
        <v>55</v>
      </c>
      <c r="D31" s="274"/>
      <c r="E31" s="8" t="s">
        <v>57</v>
      </c>
      <c r="F31" s="275" t="str">
        <f t="shared" si="4"/>
        <v>E1.P_A</v>
      </c>
      <c r="G31" s="276" t="s">
        <v>58</v>
      </c>
      <c r="H31" s="276" t="s">
        <v>59</v>
      </c>
      <c r="I31" s="408"/>
      <c r="J31" s="279" t="s">
        <v>268</v>
      </c>
      <c r="K31" s="279" t="str">
        <f t="shared" si="5"/>
        <v>E1.P_A.MR4</v>
      </c>
      <c r="L31" s="404" t="s">
        <v>108</v>
      </c>
      <c r="M31" s="405" t="s">
        <v>269</v>
      </c>
      <c r="N31" s="409">
        <v>0</v>
      </c>
      <c r="O31" s="410">
        <v>0.04</v>
      </c>
      <c r="P31" s="402" t="s">
        <v>122</v>
      </c>
      <c r="Q31" s="342" t="str">
        <f t="shared" si="6"/>
        <v>E1.P_A.MR4-MP05-1</v>
      </c>
      <c r="R31" s="330" t="s">
        <v>315</v>
      </c>
      <c r="S31" s="331" t="s">
        <v>316</v>
      </c>
      <c r="T31" s="332">
        <v>120</v>
      </c>
      <c r="U31" s="333">
        <v>1500</v>
      </c>
      <c r="V31" s="345" t="s">
        <v>67</v>
      </c>
      <c r="W31" s="347">
        <v>375</v>
      </c>
      <c r="X31" s="348">
        <v>375</v>
      </c>
      <c r="Y31" s="347">
        <v>375</v>
      </c>
      <c r="Z31" s="349">
        <v>375</v>
      </c>
      <c r="AA31" s="292"/>
      <c r="AB31" s="293"/>
      <c r="AC31" s="293"/>
      <c r="AD31" s="293"/>
      <c r="AE31" s="293"/>
      <c r="AF31" s="293"/>
      <c r="AG31" s="293"/>
      <c r="AH31" s="293"/>
      <c r="AI31" s="293"/>
      <c r="AJ31" s="293"/>
      <c r="AK31" s="293"/>
      <c r="AL31" s="293"/>
      <c r="AM31" s="293"/>
      <c r="AN31" s="293"/>
      <c r="AO31" s="293"/>
      <c r="AP31" s="293"/>
      <c r="AQ31" s="293"/>
      <c r="AR31" s="293"/>
      <c r="AS31" s="293"/>
      <c r="AT31" s="293"/>
      <c r="AU31" s="293"/>
      <c r="AV31" s="293"/>
      <c r="AW31" s="293"/>
      <c r="AX31" s="293"/>
      <c r="AY31" s="293"/>
      <c r="AZ31" s="293"/>
      <c r="BA31" s="293"/>
      <c r="BB31" s="293"/>
      <c r="BC31" s="294"/>
      <c r="BD31" s="295" t="s">
        <v>68</v>
      </c>
      <c r="BI31" s="296"/>
      <c r="BJ31" s="297"/>
      <c r="BK31" s="9" t="s">
        <v>317</v>
      </c>
      <c r="BL31" s="298" t="s">
        <v>318</v>
      </c>
      <c r="BN31" s="14" t="s">
        <v>229</v>
      </c>
      <c r="BO31" s="350" t="s">
        <v>230</v>
      </c>
      <c r="BP31" s="15" t="s">
        <v>319</v>
      </c>
      <c r="BQ31" s="263" t="s">
        <v>320</v>
      </c>
      <c r="BS31" s="86" t="s">
        <v>107</v>
      </c>
      <c r="BT31" s="86" t="s">
        <v>108</v>
      </c>
      <c r="BU31" s="85" t="s">
        <v>310</v>
      </c>
      <c r="BV31" s="84"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1" t="s">
        <v>296</v>
      </c>
      <c r="EC31" s="302" t="s">
        <v>297</v>
      </c>
      <c r="ED31" s="303" t="s">
        <v>890</v>
      </c>
      <c r="EE31" s="352">
        <v>0</v>
      </c>
      <c r="EF31" s="352">
        <v>80</v>
      </c>
      <c r="EG31" s="264"/>
      <c r="EH31" s="264"/>
      <c r="EI31" s="264"/>
      <c r="EJ31" s="264"/>
      <c r="EL31" s="816" t="s">
        <v>321</v>
      </c>
      <c r="EM31" s="312" t="s">
        <v>315</v>
      </c>
      <c r="EN31" s="268" t="s">
        <v>316</v>
      </c>
      <c r="EO31" s="268">
        <v>120</v>
      </c>
      <c r="EP31" s="268">
        <v>1500</v>
      </c>
      <c r="EQ31" s="269">
        <v>375</v>
      </c>
      <c r="ER31" s="269">
        <v>375</v>
      </c>
      <c r="ES31" s="269">
        <v>375</v>
      </c>
      <c r="ET31" s="820">
        <v>375</v>
      </c>
    </row>
    <row r="32" spans="1:150" ht="135" customHeight="1" x14ac:dyDescent="0.2">
      <c r="A32" s="271" t="s">
        <v>53</v>
      </c>
      <c r="B32" s="272" t="s">
        <v>54</v>
      </c>
      <c r="C32" s="273" t="s">
        <v>55</v>
      </c>
      <c r="D32" s="274"/>
      <c r="E32" s="8" t="s">
        <v>57</v>
      </c>
      <c r="F32" s="275" t="str">
        <f t="shared" si="4"/>
        <v>E1.P_A</v>
      </c>
      <c r="G32" s="276" t="s">
        <v>58</v>
      </c>
      <c r="H32" s="276" t="s">
        <v>59</v>
      </c>
      <c r="I32" s="399" t="s">
        <v>326</v>
      </c>
      <c r="J32" s="392" t="s">
        <v>327</v>
      </c>
      <c r="K32" s="411" t="str">
        <f t="shared" si="5"/>
        <v>E1.P_A.MR5</v>
      </c>
      <c r="L32" s="355" t="s">
        <v>118</v>
      </c>
      <c r="M32" s="356" t="s">
        <v>328</v>
      </c>
      <c r="N32" s="357">
        <v>0</v>
      </c>
      <c r="O32" s="241">
        <v>1</v>
      </c>
      <c r="P32" s="371" t="s">
        <v>64</v>
      </c>
      <c r="Q32" s="360" t="str">
        <f t="shared" si="6"/>
        <v>E1.P_A.MR5-MP01-1</v>
      </c>
      <c r="R32" s="412" t="s">
        <v>329</v>
      </c>
      <c r="S32" s="362" t="s">
        <v>330</v>
      </c>
      <c r="T32" s="363">
        <v>1</v>
      </c>
      <c r="U32" s="364">
        <v>1</v>
      </c>
      <c r="V32" s="363" t="s">
        <v>102</v>
      </c>
      <c r="W32" s="249">
        <v>1</v>
      </c>
      <c r="X32" s="365">
        <v>0</v>
      </c>
      <c r="Y32" s="249">
        <v>0</v>
      </c>
      <c r="Z32" s="366">
        <v>0</v>
      </c>
      <c r="AA32" s="292"/>
      <c r="AB32" s="293"/>
      <c r="AC32" s="293"/>
      <c r="AD32" s="293"/>
      <c r="AE32" s="293"/>
      <c r="AF32" s="293"/>
      <c r="AG32" s="293"/>
      <c r="AH32" s="293"/>
      <c r="AI32" s="293"/>
      <c r="AJ32" s="293"/>
      <c r="AK32" s="293"/>
      <c r="AL32" s="293"/>
      <c r="AM32" s="293"/>
      <c r="AN32" s="293"/>
      <c r="AO32" s="293"/>
      <c r="AP32" s="293"/>
      <c r="AQ32" s="293"/>
      <c r="AR32" s="293"/>
      <c r="AS32" s="293"/>
      <c r="AT32" s="293"/>
      <c r="AU32" s="293"/>
      <c r="AV32" s="293"/>
      <c r="AW32" s="293"/>
      <c r="AX32" s="293"/>
      <c r="AY32" s="293"/>
      <c r="AZ32" s="293"/>
      <c r="BA32" s="293"/>
      <c r="BB32" s="293"/>
      <c r="BC32" s="294"/>
      <c r="BD32" s="295" t="s">
        <v>68</v>
      </c>
      <c r="BI32" s="296"/>
      <c r="BJ32" s="297"/>
      <c r="BK32" s="9" t="s">
        <v>331</v>
      </c>
      <c r="BL32" s="298" t="s">
        <v>332</v>
      </c>
      <c r="BN32" s="5" t="s">
        <v>238</v>
      </c>
      <c r="BO32" s="262" t="s">
        <v>239</v>
      </c>
      <c r="BP32" s="17" t="s">
        <v>333</v>
      </c>
      <c r="BQ32" s="413" t="s">
        <v>334</v>
      </c>
      <c r="BS32" s="86" t="s">
        <v>107</v>
      </c>
      <c r="BT32" s="86" t="s">
        <v>108</v>
      </c>
      <c r="BU32" s="85" t="s">
        <v>321</v>
      </c>
      <c r="BV32" s="84"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1" t="s">
        <v>308</v>
      </c>
      <c r="EC32" s="414" t="s">
        <v>309</v>
      </c>
      <c r="ED32" s="303" t="s">
        <v>904</v>
      </c>
      <c r="EE32" s="352">
        <v>0</v>
      </c>
      <c r="EF32" s="352">
        <v>2</v>
      </c>
      <c r="EG32" s="264"/>
      <c r="EH32" s="264"/>
      <c r="EI32" s="264"/>
      <c r="EJ32" s="264"/>
      <c r="EL32" s="822" t="s">
        <v>335</v>
      </c>
      <c r="EM32" s="312" t="s">
        <v>329</v>
      </c>
      <c r="EN32" s="268" t="s">
        <v>330</v>
      </c>
      <c r="EO32" s="268">
        <v>1</v>
      </c>
      <c r="EP32" s="268">
        <v>1</v>
      </c>
      <c r="EQ32" s="323">
        <v>0.25</v>
      </c>
      <c r="ER32" s="323">
        <v>0.25</v>
      </c>
      <c r="ES32" s="323">
        <v>0.25</v>
      </c>
      <c r="ET32" s="819">
        <v>0.25</v>
      </c>
    </row>
    <row r="33" spans="1:150" ht="95.25" customHeight="1" thickBot="1" x14ac:dyDescent="0.25">
      <c r="A33" s="271" t="s">
        <v>53</v>
      </c>
      <c r="B33" s="272" t="s">
        <v>54</v>
      </c>
      <c r="C33" s="273" t="s">
        <v>55</v>
      </c>
      <c r="D33" s="274"/>
      <c r="E33" s="8" t="s">
        <v>57</v>
      </c>
      <c r="F33" s="275" t="str">
        <f t="shared" si="4"/>
        <v>E1.P_A</v>
      </c>
      <c r="G33" s="276" t="s">
        <v>58</v>
      </c>
      <c r="H33" s="276" t="s">
        <v>59</v>
      </c>
      <c r="I33" s="415"/>
      <c r="J33" s="279" t="s">
        <v>327</v>
      </c>
      <c r="K33" s="279" t="str">
        <f t="shared" si="5"/>
        <v>E1.P_A.MR5</v>
      </c>
      <c r="L33" s="404" t="s">
        <v>118</v>
      </c>
      <c r="M33" s="405" t="s">
        <v>328</v>
      </c>
      <c r="N33" s="369">
        <v>0</v>
      </c>
      <c r="O33" s="282">
        <v>1</v>
      </c>
      <c r="P33" s="371" t="s">
        <v>87</v>
      </c>
      <c r="Q33" s="372" t="str">
        <f t="shared" si="6"/>
        <v>E1.P_A.MR5-MP02-1</v>
      </c>
      <c r="R33" s="416" t="s">
        <v>340</v>
      </c>
      <c r="S33" s="308" t="s">
        <v>341</v>
      </c>
      <c r="T33" s="287">
        <v>1</v>
      </c>
      <c r="U33" s="288">
        <v>2</v>
      </c>
      <c r="V33" s="287" t="s">
        <v>67</v>
      </c>
      <c r="W33" s="309">
        <v>0.5</v>
      </c>
      <c r="X33" s="324">
        <v>0.5</v>
      </c>
      <c r="Y33" s="309">
        <v>0.5</v>
      </c>
      <c r="Z33" s="310">
        <v>0.5</v>
      </c>
      <c r="AA33" s="292"/>
      <c r="AB33" s="293"/>
      <c r="AC33" s="293"/>
      <c r="AD33" s="293"/>
      <c r="AE33" s="293"/>
      <c r="AF33" s="293"/>
      <c r="AG33" s="293"/>
      <c r="AH33" s="293"/>
      <c r="AI33" s="293"/>
      <c r="AJ33" s="293"/>
      <c r="AK33" s="293"/>
      <c r="AL33" s="293"/>
      <c r="AM33" s="293"/>
      <c r="AN33" s="293"/>
      <c r="AO33" s="293"/>
      <c r="AP33" s="293"/>
      <c r="AQ33" s="293"/>
      <c r="AR33" s="293"/>
      <c r="AS33" s="293"/>
      <c r="AT33" s="293"/>
      <c r="AU33" s="293"/>
      <c r="AV33" s="293"/>
      <c r="AW33" s="293"/>
      <c r="AX33" s="293"/>
      <c r="AY33" s="293"/>
      <c r="AZ33" s="293"/>
      <c r="BA33" s="293"/>
      <c r="BB33" s="293"/>
      <c r="BC33" s="294"/>
      <c r="BD33" s="295" t="s">
        <v>68</v>
      </c>
      <c r="BI33" s="296"/>
      <c r="BJ33" s="297"/>
      <c r="BK33" s="9" t="s">
        <v>342</v>
      </c>
      <c r="BL33" s="298" t="s">
        <v>343</v>
      </c>
      <c r="BN33" s="12" t="s">
        <v>238</v>
      </c>
      <c r="BO33" s="325" t="s">
        <v>239</v>
      </c>
      <c r="BP33" s="18" t="s">
        <v>344</v>
      </c>
      <c r="BQ33" s="417" t="s">
        <v>345</v>
      </c>
      <c r="BS33" s="84" t="s">
        <v>117</v>
      </c>
      <c r="BT33" s="84" t="s">
        <v>118</v>
      </c>
      <c r="BU33" s="84" t="s">
        <v>335</v>
      </c>
      <c r="BV33" s="84"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1" t="s">
        <v>319</v>
      </c>
      <c r="EC33" s="302" t="s">
        <v>320</v>
      </c>
      <c r="ED33" s="303" t="s">
        <v>927</v>
      </c>
      <c r="EE33" s="352">
        <v>665</v>
      </c>
      <c r="EF33" s="352">
        <v>1100</v>
      </c>
      <c r="EG33" s="264"/>
      <c r="EH33" s="264"/>
      <c r="EI33" s="264"/>
      <c r="EJ33" s="264"/>
      <c r="EL33" s="822" t="s">
        <v>346</v>
      </c>
      <c r="EM33" s="312" t="s">
        <v>340</v>
      </c>
      <c r="EN33" s="268" t="s">
        <v>341</v>
      </c>
      <c r="EO33" s="268">
        <v>1</v>
      </c>
      <c r="EP33" s="268">
        <v>2</v>
      </c>
      <c r="EQ33" s="270">
        <v>0.5</v>
      </c>
      <c r="ER33" s="270">
        <v>0.5</v>
      </c>
      <c r="ES33" s="270">
        <v>0.5</v>
      </c>
      <c r="ET33" s="823">
        <v>0.5</v>
      </c>
    </row>
    <row r="34" spans="1:150" ht="105" customHeight="1" thickBot="1" x14ac:dyDescent="0.25">
      <c r="A34" s="271" t="s">
        <v>53</v>
      </c>
      <c r="B34" s="272" t="s">
        <v>54</v>
      </c>
      <c r="C34" s="273" t="s">
        <v>55</v>
      </c>
      <c r="D34" s="274"/>
      <c r="E34" s="8" t="s">
        <v>57</v>
      </c>
      <c r="F34" s="275" t="str">
        <f t="shared" si="4"/>
        <v>E1.P_A</v>
      </c>
      <c r="G34" s="276" t="s">
        <v>58</v>
      </c>
      <c r="H34" s="276" t="s">
        <v>59</v>
      </c>
      <c r="I34" s="415"/>
      <c r="J34" s="279" t="s">
        <v>327</v>
      </c>
      <c r="K34" s="279" t="str">
        <f t="shared" si="5"/>
        <v>E1.P_A.MR5</v>
      </c>
      <c r="L34" s="404" t="s">
        <v>118</v>
      </c>
      <c r="M34" s="405" t="s">
        <v>328</v>
      </c>
      <c r="N34" s="369">
        <v>0</v>
      </c>
      <c r="O34" s="282">
        <v>1</v>
      </c>
      <c r="P34" s="371" t="s">
        <v>99</v>
      </c>
      <c r="Q34" s="372" t="str">
        <f t="shared" si="6"/>
        <v>E1.P_A.MR5-MP03-1</v>
      </c>
      <c r="R34" s="416" t="s">
        <v>351</v>
      </c>
      <c r="S34" s="308" t="s">
        <v>352</v>
      </c>
      <c r="T34" s="287">
        <v>5</v>
      </c>
      <c r="U34" s="376">
        <v>6</v>
      </c>
      <c r="V34" s="375" t="s">
        <v>67</v>
      </c>
      <c r="W34" s="289">
        <v>2</v>
      </c>
      <c r="X34" s="290">
        <v>2</v>
      </c>
      <c r="Y34" s="289">
        <v>1</v>
      </c>
      <c r="Z34" s="291">
        <v>1</v>
      </c>
      <c r="AA34" s="377"/>
      <c r="AB34" s="378"/>
      <c r="AC34" s="378"/>
      <c r="AD34" s="378"/>
      <c r="AE34" s="378"/>
      <c r="AF34" s="378"/>
      <c r="AG34" s="378"/>
      <c r="AH34" s="378"/>
      <c r="AI34" s="378"/>
      <c r="AJ34" s="378"/>
      <c r="AK34" s="378"/>
      <c r="AL34" s="378"/>
      <c r="AM34" s="378"/>
      <c r="AN34" s="378"/>
      <c r="AO34" s="378"/>
      <c r="AP34" s="378"/>
      <c r="AQ34" s="378"/>
      <c r="AR34" s="378"/>
      <c r="AS34" s="378"/>
      <c r="AT34" s="378"/>
      <c r="AU34" s="378"/>
      <c r="AV34" s="378"/>
      <c r="AW34" s="378"/>
      <c r="AX34" s="378"/>
      <c r="AY34" s="378"/>
      <c r="AZ34" s="378"/>
      <c r="BA34" s="378"/>
      <c r="BB34" s="378"/>
      <c r="BC34" s="379"/>
      <c r="BD34" s="295" t="s">
        <v>68</v>
      </c>
      <c r="BI34" s="296"/>
      <c r="BJ34" s="297"/>
      <c r="BK34" s="9" t="s">
        <v>353</v>
      </c>
      <c r="BL34" s="298" t="s">
        <v>354</v>
      </c>
      <c r="BN34" s="14" t="s">
        <v>249</v>
      </c>
      <c r="BO34" s="350" t="s">
        <v>250</v>
      </c>
      <c r="BP34" s="15" t="s">
        <v>355</v>
      </c>
      <c r="BQ34" s="326" t="s">
        <v>356</v>
      </c>
      <c r="BS34" s="86" t="s">
        <v>117</v>
      </c>
      <c r="BT34" s="86" t="s">
        <v>118</v>
      </c>
      <c r="BU34" s="84" t="s">
        <v>346</v>
      </c>
      <c r="BV34" s="84"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1" t="s">
        <v>333</v>
      </c>
      <c r="EC34" s="302" t="s">
        <v>334</v>
      </c>
      <c r="ED34" s="303" t="s">
        <v>953</v>
      </c>
      <c r="EE34" s="352">
        <v>25</v>
      </c>
      <c r="EF34" s="352">
        <v>90</v>
      </c>
      <c r="EG34" s="264"/>
      <c r="EH34" s="264"/>
      <c r="EI34" s="264"/>
      <c r="EJ34" s="264"/>
      <c r="EL34" s="822" t="s">
        <v>357</v>
      </c>
      <c r="EM34" s="312" t="s">
        <v>351</v>
      </c>
      <c r="EN34" s="268" t="s">
        <v>352</v>
      </c>
      <c r="EO34" s="268">
        <v>5</v>
      </c>
      <c r="EP34" s="380">
        <v>6</v>
      </c>
      <c r="EQ34" s="269">
        <v>2</v>
      </c>
      <c r="ER34" s="269">
        <v>2</v>
      </c>
      <c r="ES34" s="269">
        <v>1</v>
      </c>
      <c r="ET34" s="820">
        <v>1</v>
      </c>
    </row>
    <row r="35" spans="1:150" ht="85.5" customHeight="1" thickBot="1" x14ac:dyDescent="0.25">
      <c r="A35" s="271" t="s">
        <v>53</v>
      </c>
      <c r="B35" s="272" t="s">
        <v>54</v>
      </c>
      <c r="C35" s="273" t="s">
        <v>55</v>
      </c>
      <c r="D35" s="274"/>
      <c r="E35" s="8" t="s">
        <v>57</v>
      </c>
      <c r="F35" s="275" t="str">
        <f t="shared" si="4"/>
        <v>E1.P_A</v>
      </c>
      <c r="G35" s="418" t="s">
        <v>58</v>
      </c>
      <c r="H35" s="418" t="s">
        <v>59</v>
      </c>
      <c r="I35" s="419"/>
      <c r="J35" s="395" t="s">
        <v>327</v>
      </c>
      <c r="K35" s="395" t="str">
        <f t="shared" si="5"/>
        <v>E1.P_A.MR5</v>
      </c>
      <c r="L35" s="420" t="s">
        <v>118</v>
      </c>
      <c r="M35" s="421" t="s">
        <v>328</v>
      </c>
      <c r="N35" s="383">
        <v>0</v>
      </c>
      <c r="O35" s="422">
        <v>1</v>
      </c>
      <c r="P35" s="371" t="s">
        <v>112</v>
      </c>
      <c r="Q35" s="386" t="str">
        <f t="shared" si="6"/>
        <v>E1.P_A.MR5-MP04-1</v>
      </c>
      <c r="R35" s="423" t="s">
        <v>362</v>
      </c>
      <c r="S35" s="344" t="s">
        <v>363</v>
      </c>
      <c r="T35" s="345">
        <v>0</v>
      </c>
      <c r="U35" s="346">
        <v>1</v>
      </c>
      <c r="V35" s="345" t="s">
        <v>67</v>
      </c>
      <c r="W35" s="389">
        <v>0.25</v>
      </c>
      <c r="X35" s="390">
        <v>0.25</v>
      </c>
      <c r="Y35" s="389">
        <v>0.25</v>
      </c>
      <c r="Z35" s="391">
        <v>0.25</v>
      </c>
      <c r="AA35" s="292"/>
      <c r="AB35" s="293"/>
      <c r="AC35" s="293"/>
      <c r="AD35" s="293"/>
      <c r="AE35" s="293"/>
      <c r="AF35" s="293"/>
      <c r="AG35" s="293"/>
      <c r="AH35" s="293"/>
      <c r="AI35" s="293"/>
      <c r="AJ35" s="293"/>
      <c r="AK35" s="293"/>
      <c r="AL35" s="293"/>
      <c r="AM35" s="293"/>
      <c r="AN35" s="293"/>
      <c r="AO35" s="293"/>
      <c r="AP35" s="293"/>
      <c r="AQ35" s="293"/>
      <c r="AR35" s="293"/>
      <c r="AS35" s="293"/>
      <c r="AT35" s="293"/>
      <c r="AU35" s="293"/>
      <c r="AV35" s="293"/>
      <c r="AW35" s="293"/>
      <c r="AX35" s="293"/>
      <c r="AY35" s="293"/>
      <c r="AZ35" s="293"/>
      <c r="BA35" s="293"/>
      <c r="BB35" s="293"/>
      <c r="BC35" s="294"/>
      <c r="BD35" s="295" t="s">
        <v>68</v>
      </c>
      <c r="BI35" s="296"/>
      <c r="BJ35" s="297"/>
      <c r="BK35" s="9" t="s">
        <v>364</v>
      </c>
      <c r="BL35" s="298" t="s">
        <v>365</v>
      </c>
      <c r="BN35" s="14" t="s">
        <v>258</v>
      </c>
      <c r="BO35" s="350" t="s">
        <v>259</v>
      </c>
      <c r="BP35" s="6" t="s">
        <v>366</v>
      </c>
      <c r="BQ35" s="263" t="s">
        <v>367</v>
      </c>
      <c r="BS35" s="86" t="s">
        <v>117</v>
      </c>
      <c r="BT35" s="86" t="s">
        <v>118</v>
      </c>
      <c r="BU35" s="84" t="s">
        <v>357</v>
      </c>
      <c r="BV35" s="84"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1" t="s">
        <v>344</v>
      </c>
      <c r="EC35" s="302" t="s">
        <v>345</v>
      </c>
      <c r="ED35" s="303" t="s">
        <v>975</v>
      </c>
      <c r="EE35" s="352">
        <v>18152</v>
      </c>
      <c r="EF35" s="352">
        <v>40000</v>
      </c>
      <c r="EG35" s="264"/>
      <c r="EH35" s="264"/>
      <c r="EI35" s="264"/>
      <c r="EJ35" s="264"/>
      <c r="EL35" s="822" t="s">
        <v>368</v>
      </c>
      <c r="EM35" s="312" t="s">
        <v>362</v>
      </c>
      <c r="EN35" s="268" t="s">
        <v>363</v>
      </c>
      <c r="EO35" s="268">
        <v>0</v>
      </c>
      <c r="EP35" s="268">
        <v>1</v>
      </c>
      <c r="EQ35" s="323">
        <v>0.25</v>
      </c>
      <c r="ER35" s="323">
        <v>0.25</v>
      </c>
      <c r="ES35" s="323">
        <v>0.25</v>
      </c>
      <c r="ET35" s="819">
        <v>0.25</v>
      </c>
    </row>
    <row r="36" spans="1:150" ht="78.75" customHeight="1" thickBot="1" x14ac:dyDescent="0.25">
      <c r="A36" s="271" t="s">
        <v>53</v>
      </c>
      <c r="B36" s="424" t="s">
        <v>54</v>
      </c>
      <c r="C36" s="425" t="s">
        <v>55</v>
      </c>
      <c r="D36" s="426" t="s">
        <v>371</v>
      </c>
      <c r="E36" s="3" t="s">
        <v>372</v>
      </c>
      <c r="F36" s="427" t="str">
        <f t="shared" si="4"/>
        <v>E1.P_B</v>
      </c>
      <c r="G36" s="428" t="s">
        <v>79</v>
      </c>
      <c r="H36" s="429" t="s">
        <v>152</v>
      </c>
      <c r="I36" s="399" t="s">
        <v>373</v>
      </c>
      <c r="J36" s="430" t="s">
        <v>61</v>
      </c>
      <c r="K36" s="411" t="str">
        <f t="shared" si="5"/>
        <v>E1.P_B.MR1</v>
      </c>
      <c r="L36" s="355" t="s">
        <v>128</v>
      </c>
      <c r="M36" s="356" t="s">
        <v>374</v>
      </c>
      <c r="N36" s="401">
        <v>0.2</v>
      </c>
      <c r="O36" s="401">
        <v>1</v>
      </c>
      <c r="P36" s="402" t="s">
        <v>64</v>
      </c>
      <c r="Q36" s="243" t="str">
        <f t="shared" si="6"/>
        <v>E1.P_B.MR1-MP01-1</v>
      </c>
      <c r="R36" s="330" t="s">
        <v>375</v>
      </c>
      <c r="S36" s="331" t="s">
        <v>376</v>
      </c>
      <c r="T36" s="400">
        <v>0.6</v>
      </c>
      <c r="U36" s="431">
        <v>1</v>
      </c>
      <c r="V36" s="248" t="s">
        <v>67</v>
      </c>
      <c r="W36" s="249">
        <v>0</v>
      </c>
      <c r="X36" s="250">
        <v>0.5</v>
      </c>
      <c r="Y36" s="251">
        <v>0.5</v>
      </c>
      <c r="Z36" s="366">
        <v>0</v>
      </c>
      <c r="AA36" s="432">
        <f>45000000+5000000+42000000+149295165+52000000+40000000+81871606+88245720+1159140+75000000+32000000+27000000+100000000+35877140+233000000+25185824+704835+1684614000+815386000-2500000000+2500000000</f>
        <v>3533339430</v>
      </c>
      <c r="AB36" s="433">
        <f>893704160+48000000+51000000+43000000+96928+5128394+13003958</f>
        <v>1053933440</v>
      </c>
      <c r="AC36" s="433">
        <v>500000000</v>
      </c>
      <c r="AD36" s="433"/>
      <c r="AE36" s="433"/>
      <c r="AF36" s="433">
        <f>469367247+541637228+1499262124+16008270+122259387+28727650+1995078</f>
        <v>2679256984</v>
      </c>
      <c r="AG36" s="433">
        <f>SUM(AA36:AF36)</f>
        <v>7766529854</v>
      </c>
      <c r="AH36" s="433">
        <f>AA36*1.035</f>
        <v>3657006310.0499997</v>
      </c>
      <c r="AI36" s="433">
        <f>AB36*1.035</f>
        <v>1090821110.3999999</v>
      </c>
      <c r="AJ36" s="433">
        <f>AC36*1.035-87500000</f>
        <v>429999999.99999994</v>
      </c>
      <c r="AK36" s="433">
        <f>AD36*1.035</f>
        <v>0</v>
      </c>
      <c r="AL36" s="433">
        <f>AE36*1.035</f>
        <v>0</v>
      </c>
      <c r="AM36" s="433">
        <f>AF36*1.035</f>
        <v>2773030978.4399996</v>
      </c>
      <c r="AN36" s="433">
        <f t="shared" ref="AN36" si="8">SUM(AH36:AM36)</f>
        <v>7950858398.8899994</v>
      </c>
      <c r="AO36" s="433">
        <f>AH36*1.035-2500000000</f>
        <v>1285001530.9017496</v>
      </c>
      <c r="AP36" s="433">
        <f t="shared" ref="AP36:AT36" si="9">AI36*1.035</f>
        <v>1128999849.2639997</v>
      </c>
      <c r="AQ36" s="433">
        <f>AJ36*1.035-87500000</f>
        <v>357549999.99999988</v>
      </c>
      <c r="AR36" s="433">
        <f t="shared" si="9"/>
        <v>0</v>
      </c>
      <c r="AS36" s="433">
        <f t="shared" si="9"/>
        <v>0</v>
      </c>
      <c r="AT36" s="433">
        <f t="shared" si="9"/>
        <v>2870087062.6853995</v>
      </c>
      <c r="AU36" s="433">
        <f t="shared" ref="AU36" si="10">SUM(AO36:AT36)</f>
        <v>5641638442.8511486</v>
      </c>
      <c r="AV36" s="433">
        <f>AO36*1.035</f>
        <v>1329976584.4833107</v>
      </c>
      <c r="AW36" s="433">
        <f t="shared" ref="AW36:BA36" si="11">AP36*1.035</f>
        <v>1168514843.9882395</v>
      </c>
      <c r="AX36" s="433">
        <f t="shared" si="11"/>
        <v>370064249.99999982</v>
      </c>
      <c r="AY36" s="433">
        <f t="shared" si="11"/>
        <v>0</v>
      </c>
      <c r="AZ36" s="433">
        <f t="shared" si="11"/>
        <v>0</v>
      </c>
      <c r="BA36" s="433">
        <f t="shared" si="11"/>
        <v>2970540109.8793883</v>
      </c>
      <c r="BB36" s="433">
        <f t="shared" ref="BB36" si="12">SUM(AV36:BA36)</f>
        <v>5839095788.3509388</v>
      </c>
      <c r="BC36" s="434">
        <f t="shared" ref="BC36" si="13">+BB36+AU36+AN36+AG36</f>
        <v>27198122484.092087</v>
      </c>
      <c r="BD36" s="295" t="s">
        <v>377</v>
      </c>
      <c r="BI36" s="296"/>
      <c r="BJ36" s="297"/>
      <c r="BK36" s="16" t="s">
        <v>378</v>
      </c>
      <c r="BL36" s="367" t="s">
        <v>379</v>
      </c>
      <c r="BN36" s="5" t="s">
        <v>272</v>
      </c>
      <c r="BO36" s="262" t="s">
        <v>273</v>
      </c>
      <c r="BP36" s="17" t="s">
        <v>380</v>
      </c>
      <c r="BQ36" s="413" t="s">
        <v>381</v>
      </c>
      <c r="BS36" s="86" t="s">
        <v>117</v>
      </c>
      <c r="BT36" s="86" t="s">
        <v>118</v>
      </c>
      <c r="BU36" s="84" t="s">
        <v>368</v>
      </c>
      <c r="BV36" s="84"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1" t="s">
        <v>355</v>
      </c>
      <c r="EC36" s="302" t="s">
        <v>356</v>
      </c>
      <c r="ED36" s="303" t="s">
        <v>995</v>
      </c>
      <c r="EE36" s="435">
        <v>87</v>
      </c>
      <c r="EF36" s="435">
        <v>114</v>
      </c>
      <c r="EG36" s="264"/>
      <c r="EH36" s="264"/>
      <c r="EI36" s="264"/>
      <c r="EJ36" s="264"/>
      <c r="EL36" s="816" t="s">
        <v>382</v>
      </c>
      <c r="EM36" s="312" t="s">
        <v>375</v>
      </c>
      <c r="EN36" s="268" t="s">
        <v>1893</v>
      </c>
      <c r="EO36" s="269">
        <v>60</v>
      </c>
      <c r="EP36" s="269">
        <v>100</v>
      </c>
      <c r="EQ36" s="269">
        <v>0</v>
      </c>
      <c r="ER36" s="809">
        <v>0</v>
      </c>
      <c r="ES36" s="270">
        <v>50</v>
      </c>
      <c r="ET36" s="824">
        <v>50</v>
      </c>
    </row>
    <row r="37" spans="1:150" ht="51" customHeight="1" thickBot="1" x14ac:dyDescent="0.25">
      <c r="A37" s="271" t="s">
        <v>53</v>
      </c>
      <c r="B37" s="272" t="s">
        <v>54</v>
      </c>
      <c r="C37" s="273" t="s">
        <v>55</v>
      </c>
      <c r="D37" s="274"/>
      <c r="E37" s="8" t="s">
        <v>372</v>
      </c>
      <c r="F37" s="275" t="str">
        <f t="shared" si="4"/>
        <v>E1.P_B</v>
      </c>
      <c r="G37" s="436" t="s">
        <v>79</v>
      </c>
      <c r="H37" s="437" t="s">
        <v>152</v>
      </c>
      <c r="I37" s="438"/>
      <c r="J37" s="278" t="s">
        <v>61</v>
      </c>
      <c r="K37" s="279" t="str">
        <f t="shared" si="5"/>
        <v>E1.P_B.MR1</v>
      </c>
      <c r="L37" s="439" t="s">
        <v>128</v>
      </c>
      <c r="M37" s="440" t="s">
        <v>374</v>
      </c>
      <c r="N37" s="407">
        <v>0.2</v>
      </c>
      <c r="O37" s="407">
        <v>1</v>
      </c>
      <c r="P37" s="402" t="s">
        <v>87</v>
      </c>
      <c r="Q37" s="284" t="str">
        <f t="shared" si="6"/>
        <v>E1.P_B.MR1-MP02-1</v>
      </c>
      <c r="R37" s="361" t="s">
        <v>388</v>
      </c>
      <c r="S37" s="362" t="s">
        <v>389</v>
      </c>
      <c r="T37" s="363">
        <v>0</v>
      </c>
      <c r="U37" s="364">
        <v>1</v>
      </c>
      <c r="V37" s="287" t="s">
        <v>67</v>
      </c>
      <c r="W37" s="289">
        <v>0</v>
      </c>
      <c r="X37" s="290">
        <v>0</v>
      </c>
      <c r="Y37" s="309">
        <v>0.5</v>
      </c>
      <c r="Z37" s="310">
        <v>0.5</v>
      </c>
      <c r="AA37" s="292"/>
      <c r="AB37" s="293"/>
      <c r="AC37" s="293"/>
      <c r="AD37" s="293"/>
      <c r="AE37" s="293"/>
      <c r="AF37" s="293"/>
      <c r="AG37" s="293"/>
      <c r="AH37" s="293"/>
      <c r="AI37" s="293"/>
      <c r="AJ37" s="293"/>
      <c r="AK37" s="293"/>
      <c r="AL37" s="293"/>
      <c r="AM37" s="293"/>
      <c r="AN37" s="293"/>
      <c r="AO37" s="293"/>
      <c r="AP37" s="293"/>
      <c r="AQ37" s="293"/>
      <c r="AR37" s="293"/>
      <c r="AS37" s="293"/>
      <c r="AT37" s="293"/>
      <c r="AU37" s="293"/>
      <c r="AV37" s="293"/>
      <c r="AW37" s="293"/>
      <c r="AX37" s="293"/>
      <c r="AY37" s="293"/>
      <c r="AZ37" s="293"/>
      <c r="BA37" s="293"/>
      <c r="BB37" s="293"/>
      <c r="BC37" s="294"/>
      <c r="BD37" s="295" t="s">
        <v>377</v>
      </c>
      <c r="BI37" s="373" t="s">
        <v>103</v>
      </c>
      <c r="BJ37" s="374" t="s">
        <v>104</v>
      </c>
      <c r="BK37" s="4" t="s">
        <v>390</v>
      </c>
      <c r="BL37" s="261" t="s">
        <v>391</v>
      </c>
      <c r="BN37" s="12" t="s">
        <v>272</v>
      </c>
      <c r="BO37" s="325" t="s">
        <v>273</v>
      </c>
      <c r="BP37" s="19" t="s">
        <v>392</v>
      </c>
      <c r="BQ37" s="441" t="s">
        <v>393</v>
      </c>
      <c r="BS37" s="84" t="s">
        <v>127</v>
      </c>
      <c r="BT37" s="84" t="s">
        <v>128</v>
      </c>
      <c r="BU37" s="87" t="s">
        <v>382</v>
      </c>
      <c r="BV37" s="84"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1780</v>
      </c>
      <c r="DY37" s="7" t="s">
        <v>396</v>
      </c>
      <c r="DZ37" s="7" t="s">
        <v>397</v>
      </c>
      <c r="EB37" s="301" t="s">
        <v>366</v>
      </c>
      <c r="EC37" s="302" t="s">
        <v>367</v>
      </c>
      <c r="ED37" s="303" t="s">
        <v>1073</v>
      </c>
      <c r="EE37" s="311" t="s">
        <v>1074</v>
      </c>
      <c r="EF37" s="311" t="s">
        <v>1075</v>
      </c>
      <c r="EG37" s="264"/>
      <c r="EH37" s="264"/>
      <c r="EI37" s="264"/>
      <c r="EJ37" s="264"/>
      <c r="EL37" s="816" t="s">
        <v>394</v>
      </c>
      <c r="EM37" s="312" t="s">
        <v>388</v>
      </c>
      <c r="EN37" s="268" t="s">
        <v>389</v>
      </c>
      <c r="EO37" s="268">
        <v>0</v>
      </c>
      <c r="EP37" s="268">
        <v>1</v>
      </c>
      <c r="EQ37" s="269">
        <v>0</v>
      </c>
      <c r="ER37" s="269">
        <v>0</v>
      </c>
      <c r="ES37" s="270">
        <v>0.5</v>
      </c>
      <c r="ET37" s="823">
        <v>0.5</v>
      </c>
    </row>
    <row r="38" spans="1:150" ht="81" customHeight="1" x14ac:dyDescent="0.2">
      <c r="A38" s="271" t="s">
        <v>53</v>
      </c>
      <c r="B38" s="272" t="s">
        <v>54</v>
      </c>
      <c r="C38" s="273" t="s">
        <v>55</v>
      </c>
      <c r="D38" s="274"/>
      <c r="E38" s="8" t="s">
        <v>372</v>
      </c>
      <c r="F38" s="275" t="str">
        <f t="shared" si="4"/>
        <v>E1.P_B</v>
      </c>
      <c r="G38" s="436" t="s">
        <v>79</v>
      </c>
      <c r="H38" s="437" t="s">
        <v>152</v>
      </c>
      <c r="I38" s="438"/>
      <c r="J38" s="278" t="s">
        <v>61</v>
      </c>
      <c r="K38" s="279" t="str">
        <f t="shared" si="5"/>
        <v>E1.P_B.MR1</v>
      </c>
      <c r="L38" s="439" t="s">
        <v>128</v>
      </c>
      <c r="M38" s="440" t="s">
        <v>374</v>
      </c>
      <c r="N38" s="407">
        <v>0.2</v>
      </c>
      <c r="O38" s="407">
        <v>1</v>
      </c>
      <c r="P38" s="402" t="s">
        <v>99</v>
      </c>
      <c r="Q38" s="284" t="str">
        <f t="shared" si="6"/>
        <v>E1.P_B.MR1-MP03-1</v>
      </c>
      <c r="R38" s="307" t="s">
        <v>399</v>
      </c>
      <c r="S38" s="308" t="s">
        <v>400</v>
      </c>
      <c r="T38" s="287">
        <v>0</v>
      </c>
      <c r="U38" s="288">
        <v>1</v>
      </c>
      <c r="V38" s="287" t="s">
        <v>67</v>
      </c>
      <c r="W38" s="315">
        <v>0.25</v>
      </c>
      <c r="X38" s="316">
        <v>0.25</v>
      </c>
      <c r="Y38" s="315">
        <v>0.25</v>
      </c>
      <c r="Z38" s="317">
        <v>0.25</v>
      </c>
      <c r="AA38" s="292"/>
      <c r="AB38" s="293"/>
      <c r="AC38" s="293"/>
      <c r="AD38" s="293"/>
      <c r="AE38" s="293"/>
      <c r="AF38" s="293"/>
      <c r="AG38" s="293"/>
      <c r="AH38" s="293"/>
      <c r="AI38" s="293"/>
      <c r="AJ38" s="293"/>
      <c r="AK38" s="293"/>
      <c r="AL38" s="293"/>
      <c r="AM38" s="293"/>
      <c r="AN38" s="293"/>
      <c r="AO38" s="293"/>
      <c r="AP38" s="293"/>
      <c r="AQ38" s="293"/>
      <c r="AR38" s="293"/>
      <c r="AS38" s="293"/>
      <c r="AT38" s="293"/>
      <c r="AU38" s="293"/>
      <c r="AV38" s="293"/>
      <c r="AW38" s="293"/>
      <c r="AX38" s="293"/>
      <c r="AY38" s="293"/>
      <c r="AZ38" s="293"/>
      <c r="BA38" s="293"/>
      <c r="BB38" s="293"/>
      <c r="BC38" s="294"/>
      <c r="BD38" s="295" t="s">
        <v>377</v>
      </c>
      <c r="BI38" s="296"/>
      <c r="BJ38" s="297"/>
      <c r="BK38" s="9" t="s">
        <v>401</v>
      </c>
      <c r="BL38" s="298" t="s">
        <v>402</v>
      </c>
      <c r="BN38" s="5" t="s">
        <v>283</v>
      </c>
      <c r="BO38" s="262" t="s">
        <v>284</v>
      </c>
      <c r="BP38" s="17" t="s">
        <v>403</v>
      </c>
      <c r="BQ38" s="413" t="s">
        <v>404</v>
      </c>
      <c r="BS38" s="86" t="s">
        <v>127</v>
      </c>
      <c r="BT38" s="86" t="s">
        <v>128</v>
      </c>
      <c r="BU38" s="87" t="s">
        <v>394</v>
      </c>
      <c r="BV38" s="84"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1" t="s">
        <v>380</v>
      </c>
      <c r="EC38" s="302" t="s">
        <v>381</v>
      </c>
      <c r="ED38" s="303" t="s">
        <v>1129</v>
      </c>
      <c r="EE38" s="352">
        <v>99</v>
      </c>
      <c r="EF38" s="352">
        <v>99</v>
      </c>
      <c r="EG38" s="264"/>
      <c r="EH38" s="264"/>
      <c r="EI38" s="264"/>
      <c r="EJ38" s="264"/>
      <c r="EL38" s="816" t="s">
        <v>405</v>
      </c>
      <c r="EM38" s="312" t="s">
        <v>399</v>
      </c>
      <c r="EN38" s="268" t="s">
        <v>400</v>
      </c>
      <c r="EO38" s="268">
        <v>0</v>
      </c>
      <c r="EP38" s="268">
        <v>1</v>
      </c>
      <c r="EQ38" s="323">
        <v>0.25</v>
      </c>
      <c r="ER38" s="323">
        <v>0.25</v>
      </c>
      <c r="ES38" s="323">
        <v>0.25</v>
      </c>
      <c r="ET38" s="819">
        <v>0.25</v>
      </c>
    </row>
    <row r="39" spans="1:150" ht="57" customHeight="1" thickBot="1" x14ac:dyDescent="0.25">
      <c r="A39" s="271" t="s">
        <v>53</v>
      </c>
      <c r="B39" s="272" t="s">
        <v>54</v>
      </c>
      <c r="C39" s="273" t="s">
        <v>55</v>
      </c>
      <c r="D39" s="274"/>
      <c r="E39" s="8" t="s">
        <v>372</v>
      </c>
      <c r="F39" s="275" t="str">
        <f t="shared" si="4"/>
        <v>E1.P_B</v>
      </c>
      <c r="G39" s="436" t="s">
        <v>79</v>
      </c>
      <c r="H39" s="437" t="s">
        <v>152</v>
      </c>
      <c r="I39" s="442"/>
      <c r="J39" s="335" t="s">
        <v>61</v>
      </c>
      <c r="K39" s="395" t="str">
        <f t="shared" si="5"/>
        <v>E1.P_B.MR1</v>
      </c>
      <c r="L39" s="443" t="s">
        <v>128</v>
      </c>
      <c r="M39" s="444" t="s">
        <v>374</v>
      </c>
      <c r="N39" s="410">
        <v>0.2</v>
      </c>
      <c r="O39" s="410">
        <v>1</v>
      </c>
      <c r="P39" s="402" t="s">
        <v>112</v>
      </c>
      <c r="Q39" s="445" t="str">
        <f t="shared" si="6"/>
        <v>E1.P_B.MR1-MP04-1</v>
      </c>
      <c r="R39" s="343" t="s">
        <v>410</v>
      </c>
      <c r="S39" s="344" t="s">
        <v>411</v>
      </c>
      <c r="T39" s="345">
        <v>0</v>
      </c>
      <c r="U39" s="346">
        <v>1</v>
      </c>
      <c r="V39" s="345" t="s">
        <v>67</v>
      </c>
      <c r="W39" s="347">
        <v>0</v>
      </c>
      <c r="X39" s="348">
        <v>0</v>
      </c>
      <c r="Y39" s="397">
        <v>0.5</v>
      </c>
      <c r="Z39" s="398">
        <v>0.5</v>
      </c>
      <c r="AA39" s="292"/>
      <c r="AB39" s="293"/>
      <c r="AC39" s="293"/>
      <c r="AD39" s="293"/>
      <c r="AE39" s="293"/>
      <c r="AF39" s="293"/>
      <c r="AG39" s="293"/>
      <c r="AH39" s="293"/>
      <c r="AI39" s="293"/>
      <c r="AJ39" s="293"/>
      <c r="AK39" s="293"/>
      <c r="AL39" s="293"/>
      <c r="AM39" s="293"/>
      <c r="AN39" s="293"/>
      <c r="AO39" s="293"/>
      <c r="AP39" s="293"/>
      <c r="AQ39" s="293"/>
      <c r="AR39" s="293"/>
      <c r="AS39" s="293"/>
      <c r="AT39" s="293"/>
      <c r="AU39" s="293"/>
      <c r="AV39" s="293"/>
      <c r="AW39" s="293"/>
      <c r="AX39" s="293"/>
      <c r="AY39" s="293"/>
      <c r="AZ39" s="293"/>
      <c r="BA39" s="293"/>
      <c r="BB39" s="293"/>
      <c r="BC39" s="294"/>
      <c r="BD39" s="295" t="s">
        <v>377</v>
      </c>
      <c r="BI39" s="296"/>
      <c r="BJ39" s="297"/>
      <c r="BK39" s="9" t="s">
        <v>412</v>
      </c>
      <c r="BL39" s="298" t="s">
        <v>413</v>
      </c>
      <c r="BN39" s="12" t="s">
        <v>283</v>
      </c>
      <c r="BO39" s="325" t="s">
        <v>284</v>
      </c>
      <c r="BP39" s="18" t="s">
        <v>414</v>
      </c>
      <c r="BQ39" s="417" t="s">
        <v>415</v>
      </c>
      <c r="BS39" s="86" t="s">
        <v>127</v>
      </c>
      <c r="BT39" s="86" t="s">
        <v>128</v>
      </c>
      <c r="BU39" s="87" t="s">
        <v>405</v>
      </c>
      <c r="BV39" s="84"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1" t="s">
        <v>392</v>
      </c>
      <c r="EC39" s="302" t="s">
        <v>393</v>
      </c>
      <c r="ED39" s="303" t="s">
        <v>1143</v>
      </c>
      <c r="EE39" s="352">
        <v>2</v>
      </c>
      <c r="EF39" s="352">
        <v>5</v>
      </c>
      <c r="EG39" s="264"/>
      <c r="EH39" s="264"/>
      <c r="EI39" s="264"/>
      <c r="EJ39" s="264"/>
      <c r="EL39" s="826" t="s">
        <v>416</v>
      </c>
      <c r="EM39" s="827" t="s">
        <v>410</v>
      </c>
      <c r="EN39" s="804" t="s">
        <v>411</v>
      </c>
      <c r="EO39" s="804">
        <v>0</v>
      </c>
      <c r="EP39" s="804">
        <v>1</v>
      </c>
      <c r="EQ39" s="803">
        <v>0</v>
      </c>
      <c r="ER39" s="803">
        <v>0</v>
      </c>
      <c r="ES39" s="802">
        <v>0.5</v>
      </c>
      <c r="ET39" s="825">
        <v>0.5</v>
      </c>
    </row>
    <row r="40" spans="1:150" ht="98.25" customHeight="1" thickBot="1" x14ac:dyDescent="0.25">
      <c r="A40" s="271" t="s">
        <v>53</v>
      </c>
      <c r="B40" s="446" t="s">
        <v>54</v>
      </c>
      <c r="C40" s="447" t="s">
        <v>55</v>
      </c>
      <c r="D40" s="447"/>
      <c r="E40" s="8" t="s">
        <v>372</v>
      </c>
      <c r="F40" s="275" t="str">
        <f t="shared" si="4"/>
        <v>E1.P_B</v>
      </c>
      <c r="G40" s="448" t="s">
        <v>79</v>
      </c>
      <c r="H40" s="448" t="s">
        <v>152</v>
      </c>
      <c r="I40" s="449" t="s">
        <v>419</v>
      </c>
      <c r="J40" s="450" t="s">
        <v>167</v>
      </c>
      <c r="K40" s="451" t="str">
        <f t="shared" si="5"/>
        <v>E1.P_B.MR2</v>
      </c>
      <c r="L40" s="355" t="s">
        <v>138</v>
      </c>
      <c r="M40" s="356" t="s">
        <v>420</v>
      </c>
      <c r="N40" s="357">
        <v>5295</v>
      </c>
      <c r="O40" s="241">
        <v>5295</v>
      </c>
      <c r="P40" s="394" t="s">
        <v>64</v>
      </c>
      <c r="Q40" s="360" t="str">
        <f t="shared" si="6"/>
        <v>E1.P_B.MR2-MP01-1</v>
      </c>
      <c r="R40" s="361" t="s">
        <v>421</v>
      </c>
      <c r="S40" s="362" t="s">
        <v>422</v>
      </c>
      <c r="T40" s="363">
        <v>5295</v>
      </c>
      <c r="U40" s="364">
        <v>5295</v>
      </c>
      <c r="V40" s="363" t="s">
        <v>102</v>
      </c>
      <c r="W40" s="249">
        <v>5295</v>
      </c>
      <c r="X40" s="365">
        <v>5295</v>
      </c>
      <c r="Y40" s="249">
        <v>5295</v>
      </c>
      <c r="Z40" s="366">
        <v>5295</v>
      </c>
      <c r="AA40" s="292"/>
      <c r="AB40" s="293"/>
      <c r="AC40" s="293"/>
      <c r="AD40" s="293"/>
      <c r="AE40" s="293"/>
      <c r="AF40" s="293"/>
      <c r="AG40" s="293"/>
      <c r="AH40" s="293"/>
      <c r="AI40" s="293"/>
      <c r="AJ40" s="293"/>
      <c r="AK40" s="293"/>
      <c r="AL40" s="293"/>
      <c r="AM40" s="293"/>
      <c r="AN40" s="293"/>
      <c r="AO40" s="293"/>
      <c r="AP40" s="293"/>
      <c r="AQ40" s="293"/>
      <c r="AR40" s="293"/>
      <c r="AS40" s="293"/>
      <c r="AT40" s="293"/>
      <c r="AU40" s="293"/>
      <c r="AV40" s="293"/>
      <c r="AW40" s="293"/>
      <c r="AX40" s="293"/>
      <c r="AY40" s="293"/>
      <c r="AZ40" s="293"/>
      <c r="BA40" s="293"/>
      <c r="BB40" s="293"/>
      <c r="BC40" s="294"/>
      <c r="BD40" s="295" t="s">
        <v>377</v>
      </c>
      <c r="BI40" s="296"/>
      <c r="BJ40" s="297"/>
      <c r="BK40" s="9" t="s">
        <v>423</v>
      </c>
      <c r="BL40" s="298" t="s">
        <v>424</v>
      </c>
      <c r="BN40" s="14" t="s">
        <v>294</v>
      </c>
      <c r="BO40" s="350" t="s">
        <v>295</v>
      </c>
      <c r="BP40" s="13" t="s">
        <v>425</v>
      </c>
      <c r="BQ40" s="326" t="s">
        <v>426</v>
      </c>
      <c r="BS40" s="86" t="s">
        <v>127</v>
      </c>
      <c r="BT40" s="86" t="s">
        <v>128</v>
      </c>
      <c r="BU40" s="87" t="s">
        <v>416</v>
      </c>
      <c r="BV40" s="84"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1" t="s">
        <v>403</v>
      </c>
      <c r="EC40" s="302" t="s">
        <v>404</v>
      </c>
      <c r="ED40" s="303" t="s">
        <v>1148</v>
      </c>
      <c r="EE40" s="435">
        <v>0</v>
      </c>
      <c r="EF40" s="435">
        <v>6</v>
      </c>
      <c r="EG40" s="264"/>
      <c r="EH40" s="264"/>
      <c r="EI40" s="264"/>
      <c r="EJ40" s="264"/>
      <c r="EL40" s="822" t="s">
        <v>427</v>
      </c>
      <c r="EM40" s="312" t="s">
        <v>421</v>
      </c>
      <c r="EN40" s="268" t="s">
        <v>422</v>
      </c>
      <c r="EO40" s="268">
        <v>5295</v>
      </c>
      <c r="EP40" s="268">
        <v>5295</v>
      </c>
      <c r="EQ40" s="269">
        <v>5295</v>
      </c>
      <c r="ER40" s="269">
        <v>5295</v>
      </c>
      <c r="ES40" s="269">
        <v>5295</v>
      </c>
      <c r="ET40" s="820">
        <v>5295</v>
      </c>
    </row>
    <row r="41" spans="1:150" ht="60" customHeight="1" thickBot="1" x14ac:dyDescent="0.25">
      <c r="A41" s="271" t="s">
        <v>53</v>
      </c>
      <c r="B41" s="272" t="s">
        <v>54</v>
      </c>
      <c r="C41" s="273" t="s">
        <v>55</v>
      </c>
      <c r="D41" s="274"/>
      <c r="E41" s="8" t="s">
        <v>372</v>
      </c>
      <c r="F41" s="275" t="str">
        <f t="shared" si="4"/>
        <v>E1.P_B</v>
      </c>
      <c r="G41" s="436" t="s">
        <v>79</v>
      </c>
      <c r="H41" s="436" t="s">
        <v>152</v>
      </c>
      <c r="I41" s="452"/>
      <c r="J41" s="453" t="s">
        <v>167</v>
      </c>
      <c r="K41" s="368" t="str">
        <f t="shared" si="5"/>
        <v>E1.P_B.MR2</v>
      </c>
      <c r="L41" s="454" t="s">
        <v>138</v>
      </c>
      <c r="M41" s="455" t="s">
        <v>420</v>
      </c>
      <c r="N41" s="369">
        <v>5295</v>
      </c>
      <c r="O41" s="282">
        <v>5295</v>
      </c>
      <c r="P41" s="394" t="s">
        <v>87</v>
      </c>
      <c r="Q41" s="372" t="str">
        <f t="shared" si="6"/>
        <v>E1.P_B.MR2-MP02-1</v>
      </c>
      <c r="R41" s="307" t="s">
        <v>432</v>
      </c>
      <c r="S41" s="308" t="s">
        <v>433</v>
      </c>
      <c r="T41" s="287">
        <v>1</v>
      </c>
      <c r="U41" s="288">
        <v>1</v>
      </c>
      <c r="V41" s="287" t="s">
        <v>102</v>
      </c>
      <c r="W41" s="315">
        <v>0.25</v>
      </c>
      <c r="X41" s="316">
        <v>0.25</v>
      </c>
      <c r="Y41" s="315">
        <v>0.25</v>
      </c>
      <c r="Z41" s="317">
        <v>0.25</v>
      </c>
      <c r="AA41" s="292"/>
      <c r="AB41" s="293"/>
      <c r="AC41" s="293"/>
      <c r="AD41" s="293"/>
      <c r="AE41" s="293"/>
      <c r="AF41" s="293"/>
      <c r="AG41" s="293"/>
      <c r="AH41" s="293"/>
      <c r="AI41" s="293"/>
      <c r="AJ41" s="293"/>
      <c r="AK41" s="293"/>
      <c r="AL41" s="293"/>
      <c r="AM41" s="293"/>
      <c r="AN41" s="293"/>
      <c r="AO41" s="293"/>
      <c r="AP41" s="293"/>
      <c r="AQ41" s="293"/>
      <c r="AR41" s="293"/>
      <c r="AS41" s="293"/>
      <c r="AT41" s="293"/>
      <c r="AU41" s="293"/>
      <c r="AV41" s="293"/>
      <c r="AW41" s="293"/>
      <c r="AX41" s="293"/>
      <c r="AY41" s="293"/>
      <c r="AZ41" s="293"/>
      <c r="BA41" s="293"/>
      <c r="BB41" s="293"/>
      <c r="BC41" s="294"/>
      <c r="BD41" s="295" t="s">
        <v>377</v>
      </c>
      <c r="BI41" s="456"/>
      <c r="BJ41" s="457"/>
      <c r="BK41" s="16" t="s">
        <v>434</v>
      </c>
      <c r="BL41" s="367" t="s">
        <v>435</v>
      </c>
      <c r="BN41" s="14" t="s">
        <v>306</v>
      </c>
      <c r="BO41" s="350" t="s">
        <v>307</v>
      </c>
      <c r="BP41" s="15" t="s">
        <v>436</v>
      </c>
      <c r="BQ41" s="351" t="s">
        <v>437</v>
      </c>
      <c r="BS41" s="84" t="s">
        <v>137</v>
      </c>
      <c r="BT41" s="84" t="s">
        <v>138</v>
      </c>
      <c r="BU41" s="87" t="s">
        <v>427</v>
      </c>
      <c r="BV41" s="84"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1" t="s">
        <v>414</v>
      </c>
      <c r="EC41" s="302" t="s">
        <v>415</v>
      </c>
      <c r="ED41" s="302" t="s">
        <v>1148</v>
      </c>
      <c r="EE41" s="352">
        <v>0</v>
      </c>
      <c r="EF41" s="352">
        <v>4</v>
      </c>
      <c r="EG41" s="264"/>
      <c r="EH41" s="264"/>
      <c r="EI41" s="264"/>
      <c r="EJ41" s="264"/>
      <c r="EL41" s="822" t="s">
        <v>438</v>
      </c>
      <c r="EM41" s="312" t="s">
        <v>432</v>
      </c>
      <c r="EN41" s="268" t="s">
        <v>433</v>
      </c>
      <c r="EO41" s="268">
        <v>1</v>
      </c>
      <c r="EP41" s="268">
        <v>1</v>
      </c>
      <c r="EQ41" s="323">
        <v>1</v>
      </c>
      <c r="ER41" s="323">
        <v>1</v>
      </c>
      <c r="ES41" s="323">
        <v>1</v>
      </c>
      <c r="ET41" s="819">
        <v>1</v>
      </c>
    </row>
    <row r="42" spans="1:150" ht="78.75" customHeight="1" thickBot="1" x14ac:dyDescent="0.25">
      <c r="A42" s="271" t="s">
        <v>53</v>
      </c>
      <c r="B42" s="272" t="s">
        <v>54</v>
      </c>
      <c r="C42" s="273" t="s">
        <v>55</v>
      </c>
      <c r="D42" s="274"/>
      <c r="E42" s="8" t="s">
        <v>372</v>
      </c>
      <c r="F42" s="275" t="str">
        <f t="shared" si="4"/>
        <v>E1.P_B</v>
      </c>
      <c r="G42" s="436" t="s">
        <v>79</v>
      </c>
      <c r="H42" s="436" t="s">
        <v>152</v>
      </c>
      <c r="I42" s="458"/>
      <c r="J42" s="459" t="s">
        <v>167</v>
      </c>
      <c r="K42" s="460" t="str">
        <f t="shared" si="5"/>
        <v>E1.P_B.MR2</v>
      </c>
      <c r="L42" s="461" t="s">
        <v>138</v>
      </c>
      <c r="M42" s="462" t="s">
        <v>420</v>
      </c>
      <c r="N42" s="383">
        <v>5295</v>
      </c>
      <c r="O42" s="422">
        <v>5295</v>
      </c>
      <c r="P42" s="394" t="s">
        <v>99</v>
      </c>
      <c r="Q42" s="386" t="str">
        <f t="shared" si="6"/>
        <v>E1.P_B.MR2-MP03-1</v>
      </c>
      <c r="R42" s="330" t="s">
        <v>441</v>
      </c>
      <c r="S42" s="331" t="s">
        <v>442</v>
      </c>
      <c r="T42" s="387">
        <v>0</v>
      </c>
      <c r="U42" s="388">
        <v>1</v>
      </c>
      <c r="V42" s="387" t="s">
        <v>67</v>
      </c>
      <c r="W42" s="389">
        <v>0.25</v>
      </c>
      <c r="X42" s="390">
        <v>0.25</v>
      </c>
      <c r="Y42" s="389">
        <v>0.25</v>
      </c>
      <c r="Z42" s="391">
        <v>0.25</v>
      </c>
      <c r="AA42" s="377"/>
      <c r="AB42" s="378"/>
      <c r="AC42" s="378"/>
      <c r="AD42" s="378"/>
      <c r="AE42" s="378"/>
      <c r="AF42" s="378"/>
      <c r="AG42" s="378"/>
      <c r="AH42" s="378"/>
      <c r="AI42" s="378"/>
      <c r="AJ42" s="378"/>
      <c r="AK42" s="378"/>
      <c r="AL42" s="378"/>
      <c r="AM42" s="378"/>
      <c r="AN42" s="378"/>
      <c r="AO42" s="378"/>
      <c r="AP42" s="378"/>
      <c r="AQ42" s="378"/>
      <c r="AR42" s="378"/>
      <c r="AS42" s="378"/>
      <c r="AT42" s="378"/>
      <c r="AU42" s="378"/>
      <c r="AV42" s="378"/>
      <c r="AW42" s="378"/>
      <c r="AX42" s="378"/>
      <c r="AY42" s="378"/>
      <c r="AZ42" s="378"/>
      <c r="BA42" s="378"/>
      <c r="BB42" s="378"/>
      <c r="BC42" s="379"/>
      <c r="BD42" s="295" t="s">
        <v>377</v>
      </c>
      <c r="BN42" s="14" t="s">
        <v>317</v>
      </c>
      <c r="BO42" s="350" t="s">
        <v>318</v>
      </c>
      <c r="BP42" s="15" t="s">
        <v>443</v>
      </c>
      <c r="BQ42" s="351" t="s">
        <v>444</v>
      </c>
      <c r="BS42" s="86" t="s">
        <v>137</v>
      </c>
      <c r="BT42" s="86" t="s">
        <v>138</v>
      </c>
      <c r="BU42" s="87" t="s">
        <v>438</v>
      </c>
      <c r="BV42" s="84"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1" t="s">
        <v>425</v>
      </c>
      <c r="EC42" s="302" t="s">
        <v>426</v>
      </c>
      <c r="ED42" s="303" t="s">
        <v>1190</v>
      </c>
      <c r="EE42" s="352">
        <v>0</v>
      </c>
      <c r="EF42" s="352">
        <v>4</v>
      </c>
      <c r="EG42" s="264"/>
      <c r="EH42" s="264"/>
      <c r="EI42" s="264"/>
      <c r="EJ42" s="264"/>
      <c r="EL42" s="822" t="s">
        <v>445</v>
      </c>
      <c r="EM42" s="312" t="s">
        <v>441</v>
      </c>
      <c r="EN42" s="268" t="s">
        <v>442</v>
      </c>
      <c r="EO42" s="380">
        <v>0</v>
      </c>
      <c r="EP42" s="380">
        <v>1</v>
      </c>
      <c r="EQ42" s="323">
        <v>0.25</v>
      </c>
      <c r="ER42" s="323">
        <v>0.25</v>
      </c>
      <c r="ES42" s="323">
        <v>0.25</v>
      </c>
      <c r="ET42" s="819">
        <v>0.25</v>
      </c>
    </row>
    <row r="43" spans="1:150" ht="115.5" customHeight="1" thickBot="1" x14ac:dyDescent="0.3">
      <c r="A43" s="271" t="s">
        <v>53</v>
      </c>
      <c r="B43" s="446" t="s">
        <v>54</v>
      </c>
      <c r="C43" s="447" t="s">
        <v>55</v>
      </c>
      <c r="D43" s="447"/>
      <c r="E43" s="8" t="s">
        <v>372</v>
      </c>
      <c r="F43" s="275" t="str">
        <f t="shared" si="4"/>
        <v>E1.P_B</v>
      </c>
      <c r="G43" s="448" t="s">
        <v>79</v>
      </c>
      <c r="H43" s="448" t="s">
        <v>152</v>
      </c>
      <c r="I43" s="449" t="s">
        <v>450</v>
      </c>
      <c r="J43" s="450" t="s">
        <v>212</v>
      </c>
      <c r="K43" s="451" t="str">
        <f t="shared" si="5"/>
        <v>E1.P_B.MR3</v>
      </c>
      <c r="L43" s="355" t="s">
        <v>148</v>
      </c>
      <c r="M43" s="356" t="s">
        <v>451</v>
      </c>
      <c r="N43" s="241">
        <v>0</v>
      </c>
      <c r="O43" s="241">
        <v>20</v>
      </c>
      <c r="P43" s="371" t="s">
        <v>64</v>
      </c>
      <c r="Q43" s="26" t="str">
        <f t="shared" si="6"/>
        <v>E1.P_B.MR3-MP01-1</v>
      </c>
      <c r="R43" s="412" t="s">
        <v>452</v>
      </c>
      <c r="S43" s="362" t="s">
        <v>453</v>
      </c>
      <c r="T43" s="363">
        <v>0</v>
      </c>
      <c r="U43" s="364">
        <v>2</v>
      </c>
      <c r="V43" s="363" t="s">
        <v>67</v>
      </c>
      <c r="W43" s="251">
        <v>0.5</v>
      </c>
      <c r="X43" s="250">
        <v>0.5</v>
      </c>
      <c r="Y43" s="251">
        <v>0.5</v>
      </c>
      <c r="Z43" s="252">
        <v>0.5</v>
      </c>
      <c r="AA43" s="292"/>
      <c r="AB43" s="293"/>
      <c r="AC43" s="293"/>
      <c r="AD43" s="293"/>
      <c r="AE43" s="293"/>
      <c r="AF43" s="293"/>
      <c r="AG43" s="293"/>
      <c r="AH43" s="293"/>
      <c r="AI43" s="293"/>
      <c r="AJ43" s="293"/>
      <c r="AK43" s="293"/>
      <c r="AL43" s="293"/>
      <c r="AM43" s="293"/>
      <c r="AN43" s="293"/>
      <c r="AO43" s="293"/>
      <c r="AP43" s="293"/>
      <c r="AQ43" s="293"/>
      <c r="AR43" s="293"/>
      <c r="AS43" s="293"/>
      <c r="AT43" s="293"/>
      <c r="AU43" s="293"/>
      <c r="AV43" s="293"/>
      <c r="AW43" s="293"/>
      <c r="AX43" s="293"/>
      <c r="AY43" s="293"/>
      <c r="AZ43" s="293"/>
      <c r="BA43" s="293"/>
      <c r="BB43" s="293"/>
      <c r="BC43" s="294"/>
      <c r="BD43" s="295" t="s">
        <v>377</v>
      </c>
      <c r="BN43" s="14" t="s">
        <v>331</v>
      </c>
      <c r="BO43" s="350" t="s">
        <v>332</v>
      </c>
      <c r="BP43" s="15" t="s">
        <v>454</v>
      </c>
      <c r="BQ43" s="351" t="s">
        <v>455</v>
      </c>
      <c r="BS43" s="86" t="s">
        <v>137</v>
      </c>
      <c r="BT43" s="86" t="s">
        <v>138</v>
      </c>
      <c r="BU43" s="87" t="s">
        <v>445</v>
      </c>
      <c r="BV43" s="84"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1" t="s">
        <v>436</v>
      </c>
      <c r="EC43" s="302" t="s">
        <v>437</v>
      </c>
      <c r="ED43" s="303" t="s">
        <v>1219</v>
      </c>
      <c r="EE43" s="435">
        <v>0</v>
      </c>
      <c r="EF43" s="305">
        <v>20</v>
      </c>
      <c r="EG43" s="264"/>
      <c r="EH43" s="264"/>
      <c r="EI43" s="264"/>
      <c r="EJ43" s="264"/>
      <c r="EL43" s="822" t="s">
        <v>456</v>
      </c>
      <c r="EM43" s="312" t="s">
        <v>452</v>
      </c>
      <c r="EN43" s="268" t="s">
        <v>453</v>
      </c>
      <c r="EO43" s="268">
        <v>0</v>
      </c>
      <c r="EP43" s="268">
        <v>2</v>
      </c>
      <c r="EQ43" s="270">
        <v>0.5</v>
      </c>
      <c r="ER43" s="270">
        <v>0.5</v>
      </c>
      <c r="ES43" s="270">
        <v>0.5</v>
      </c>
      <c r="ET43" s="823">
        <v>0.5</v>
      </c>
    </row>
    <row r="44" spans="1:150" ht="52.5" customHeight="1" thickBot="1" x14ac:dyDescent="0.25">
      <c r="A44" s="271" t="s">
        <v>53</v>
      </c>
      <c r="B44" s="463" t="s">
        <v>54</v>
      </c>
      <c r="C44" s="464" t="s">
        <v>55</v>
      </c>
      <c r="D44" s="447"/>
      <c r="E44" s="8" t="s">
        <v>372</v>
      </c>
      <c r="F44" s="275" t="str">
        <f t="shared" si="4"/>
        <v>E1.P_B</v>
      </c>
      <c r="G44" s="465" t="s">
        <v>79</v>
      </c>
      <c r="H44" s="465" t="s">
        <v>152</v>
      </c>
      <c r="I44" s="452"/>
      <c r="J44" s="453" t="s">
        <v>212</v>
      </c>
      <c r="K44" s="368" t="str">
        <f t="shared" si="5"/>
        <v>E1.P_B.MR3</v>
      </c>
      <c r="L44" s="466" t="s">
        <v>148</v>
      </c>
      <c r="M44" s="467" t="s">
        <v>451</v>
      </c>
      <c r="N44" s="282">
        <v>0</v>
      </c>
      <c r="O44" s="282">
        <v>20</v>
      </c>
      <c r="P44" s="371" t="s">
        <v>87</v>
      </c>
      <c r="Q44" s="360" t="str">
        <f t="shared" si="6"/>
        <v>E1.P_B.MR3-MP02-1</v>
      </c>
      <c r="R44" s="416" t="s">
        <v>461</v>
      </c>
      <c r="S44" s="308" t="s">
        <v>453</v>
      </c>
      <c r="T44" s="287">
        <v>0</v>
      </c>
      <c r="U44" s="288">
        <v>2</v>
      </c>
      <c r="V44" s="287" t="s">
        <v>67</v>
      </c>
      <c r="W44" s="309">
        <v>0.5</v>
      </c>
      <c r="X44" s="324">
        <v>0.5</v>
      </c>
      <c r="Y44" s="309">
        <v>0.5</v>
      </c>
      <c r="Z44" s="310">
        <v>0.5</v>
      </c>
      <c r="AA44" s="292"/>
      <c r="AB44" s="293"/>
      <c r="AC44" s="293"/>
      <c r="AD44" s="293"/>
      <c r="AE44" s="293"/>
      <c r="AF44" s="293"/>
      <c r="AG44" s="293"/>
      <c r="AH44" s="293"/>
      <c r="AI44" s="293"/>
      <c r="AJ44" s="293"/>
      <c r="AK44" s="293"/>
      <c r="AL44" s="293"/>
      <c r="AM44" s="293"/>
      <c r="AN44" s="293"/>
      <c r="AO44" s="293"/>
      <c r="AP44" s="293"/>
      <c r="AQ44" s="293"/>
      <c r="AR44" s="293"/>
      <c r="AS44" s="293"/>
      <c r="AT44" s="293"/>
      <c r="AU44" s="293"/>
      <c r="AV44" s="293"/>
      <c r="AW44" s="293"/>
      <c r="AX44" s="293"/>
      <c r="AY44" s="293"/>
      <c r="AZ44" s="293"/>
      <c r="BA44" s="293"/>
      <c r="BB44" s="293"/>
      <c r="BC44" s="294"/>
      <c r="BD44" s="295" t="s">
        <v>377</v>
      </c>
      <c r="BN44" s="14" t="s">
        <v>342</v>
      </c>
      <c r="BO44" s="350" t="s">
        <v>343</v>
      </c>
      <c r="BP44" s="15" t="s">
        <v>462</v>
      </c>
      <c r="BQ44" s="351" t="s">
        <v>463</v>
      </c>
      <c r="BS44" s="84" t="s">
        <v>147</v>
      </c>
      <c r="BT44" s="84" t="s">
        <v>148</v>
      </c>
      <c r="BU44" s="87" t="s">
        <v>456</v>
      </c>
      <c r="BV44" s="84"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1" t="s">
        <v>443</v>
      </c>
      <c r="EC44" s="302" t="s">
        <v>444</v>
      </c>
      <c r="ED44" s="303" t="s">
        <v>1241</v>
      </c>
      <c r="EE44" s="352">
        <v>5</v>
      </c>
      <c r="EF44" s="352">
        <v>5</v>
      </c>
      <c r="EG44" s="264"/>
      <c r="EH44" s="264"/>
      <c r="EI44" s="264"/>
      <c r="EJ44" s="264"/>
      <c r="EL44" s="822" t="s">
        <v>464</v>
      </c>
      <c r="EM44" s="312" t="s">
        <v>461</v>
      </c>
      <c r="EN44" s="268" t="s">
        <v>453</v>
      </c>
      <c r="EO44" s="268">
        <v>0</v>
      </c>
      <c r="EP44" s="268">
        <v>2</v>
      </c>
      <c r="EQ44" s="270">
        <v>0.5</v>
      </c>
      <c r="ER44" s="270">
        <v>0.5</v>
      </c>
      <c r="ES44" s="270">
        <v>0.5</v>
      </c>
      <c r="ET44" s="823">
        <v>0.5</v>
      </c>
    </row>
    <row r="45" spans="1:150" ht="47.25" customHeight="1" thickBot="1" x14ac:dyDescent="0.25">
      <c r="A45" s="271" t="s">
        <v>53</v>
      </c>
      <c r="B45" s="463" t="s">
        <v>54</v>
      </c>
      <c r="C45" s="464" t="s">
        <v>55</v>
      </c>
      <c r="D45" s="447"/>
      <c r="E45" s="8" t="s">
        <v>372</v>
      </c>
      <c r="F45" s="275" t="str">
        <f t="shared" si="4"/>
        <v>E1.P_B</v>
      </c>
      <c r="G45" s="465" t="s">
        <v>79</v>
      </c>
      <c r="H45" s="465" t="s">
        <v>152</v>
      </c>
      <c r="I45" s="452"/>
      <c r="J45" s="453" t="s">
        <v>212</v>
      </c>
      <c r="K45" s="368" t="str">
        <f t="shared" si="5"/>
        <v>E1.P_B.MR3</v>
      </c>
      <c r="L45" s="466" t="s">
        <v>148</v>
      </c>
      <c r="M45" s="467" t="s">
        <v>451</v>
      </c>
      <c r="N45" s="282">
        <v>0</v>
      </c>
      <c r="O45" s="282">
        <v>20</v>
      </c>
      <c r="P45" s="371" t="s">
        <v>99</v>
      </c>
      <c r="Q45" s="372" t="str">
        <f t="shared" si="6"/>
        <v>E1.P_B.MR3-MP03-1</v>
      </c>
      <c r="R45" s="416" t="s">
        <v>469</v>
      </c>
      <c r="S45" s="308" t="s">
        <v>453</v>
      </c>
      <c r="T45" s="375">
        <v>0</v>
      </c>
      <c r="U45" s="376">
        <v>2</v>
      </c>
      <c r="V45" s="375" t="s">
        <v>67</v>
      </c>
      <c r="W45" s="309">
        <v>0.5</v>
      </c>
      <c r="X45" s="324">
        <v>0.5</v>
      </c>
      <c r="Y45" s="309">
        <v>0.5</v>
      </c>
      <c r="Z45" s="310">
        <v>0.5</v>
      </c>
      <c r="AA45" s="377"/>
      <c r="AB45" s="378"/>
      <c r="AC45" s="378"/>
      <c r="AD45" s="378"/>
      <c r="AE45" s="378"/>
      <c r="AF45" s="378"/>
      <c r="AG45" s="378"/>
      <c r="AH45" s="378"/>
      <c r="AI45" s="378"/>
      <c r="AJ45" s="378"/>
      <c r="AK45" s="378"/>
      <c r="AL45" s="378"/>
      <c r="AM45" s="378"/>
      <c r="AN45" s="378"/>
      <c r="AO45" s="378"/>
      <c r="AP45" s="378"/>
      <c r="AQ45" s="378"/>
      <c r="AR45" s="378"/>
      <c r="AS45" s="378"/>
      <c r="AT45" s="378"/>
      <c r="AU45" s="378"/>
      <c r="AV45" s="378"/>
      <c r="AW45" s="378"/>
      <c r="AX45" s="378"/>
      <c r="AY45" s="378"/>
      <c r="AZ45" s="378"/>
      <c r="BA45" s="378"/>
      <c r="BB45" s="378"/>
      <c r="BC45" s="379"/>
      <c r="BD45" s="295" t="s">
        <v>377</v>
      </c>
      <c r="BN45" s="14" t="s">
        <v>353</v>
      </c>
      <c r="BO45" s="350" t="s">
        <v>354</v>
      </c>
      <c r="BP45" s="15" t="s">
        <v>470</v>
      </c>
      <c r="BQ45" s="351" t="s">
        <v>471</v>
      </c>
      <c r="BS45" s="86" t="s">
        <v>147</v>
      </c>
      <c r="BT45" s="86" t="s">
        <v>148</v>
      </c>
      <c r="BU45" s="87" t="s">
        <v>464</v>
      </c>
      <c r="BV45" s="84"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1" t="s">
        <v>454</v>
      </c>
      <c r="EC45" s="302" t="s">
        <v>455</v>
      </c>
      <c r="ED45" s="303" t="s">
        <v>1262</v>
      </c>
      <c r="EE45" s="352">
        <v>41</v>
      </c>
      <c r="EF45" s="352">
        <v>341</v>
      </c>
      <c r="EG45" s="264"/>
      <c r="EH45" s="264"/>
      <c r="EI45" s="264"/>
      <c r="EJ45" s="264"/>
      <c r="EL45" s="822" t="s">
        <v>472</v>
      </c>
      <c r="EM45" s="312" t="s">
        <v>469</v>
      </c>
      <c r="EN45" s="268" t="s">
        <v>453</v>
      </c>
      <c r="EO45" s="380">
        <v>0</v>
      </c>
      <c r="EP45" s="380">
        <v>2</v>
      </c>
      <c r="EQ45" s="270">
        <v>0.5</v>
      </c>
      <c r="ER45" s="270">
        <v>0.5</v>
      </c>
      <c r="ES45" s="270">
        <v>0.5</v>
      </c>
      <c r="ET45" s="823">
        <v>0.5</v>
      </c>
    </row>
    <row r="46" spans="1:150" ht="48.75" customHeight="1" thickBot="1" x14ac:dyDescent="0.3">
      <c r="A46" s="271" t="s">
        <v>53</v>
      </c>
      <c r="B46" s="463" t="s">
        <v>54</v>
      </c>
      <c r="C46" s="464" t="s">
        <v>55</v>
      </c>
      <c r="D46" s="447"/>
      <c r="E46" s="8" t="s">
        <v>372</v>
      </c>
      <c r="F46" s="275" t="str">
        <f t="shared" si="4"/>
        <v>E1.P_B</v>
      </c>
      <c r="G46" s="465" t="s">
        <v>79</v>
      </c>
      <c r="H46" s="465" t="s">
        <v>152</v>
      </c>
      <c r="I46" s="452"/>
      <c r="J46" s="453" t="s">
        <v>212</v>
      </c>
      <c r="K46" s="368" t="str">
        <f t="shared" si="5"/>
        <v>E1.P_B.MR3</v>
      </c>
      <c r="L46" s="466" t="s">
        <v>148</v>
      </c>
      <c r="M46" s="467" t="s">
        <v>451</v>
      </c>
      <c r="N46" s="282">
        <v>0</v>
      </c>
      <c r="O46" s="282">
        <v>20</v>
      </c>
      <c r="P46" s="371" t="s">
        <v>112</v>
      </c>
      <c r="Q46" s="372" t="str">
        <f t="shared" si="6"/>
        <v>E1.P_B.MR3-MP04-1</v>
      </c>
      <c r="R46" s="416" t="s">
        <v>477</v>
      </c>
      <c r="S46" s="308" t="s">
        <v>453</v>
      </c>
      <c r="T46" s="287">
        <v>0</v>
      </c>
      <c r="U46" s="288">
        <v>2</v>
      </c>
      <c r="V46" s="287" t="s">
        <v>67</v>
      </c>
      <c r="W46" s="309">
        <v>0.5</v>
      </c>
      <c r="X46" s="324">
        <v>0.5</v>
      </c>
      <c r="Y46" s="309">
        <v>0.5</v>
      </c>
      <c r="Z46" s="310">
        <v>0.5</v>
      </c>
      <c r="AA46" s="292"/>
      <c r="AB46" s="293"/>
      <c r="AC46" s="293"/>
      <c r="AD46" s="293"/>
      <c r="AE46" s="293"/>
      <c r="AF46" s="293"/>
      <c r="AG46" s="293"/>
      <c r="AH46" s="293"/>
      <c r="AI46" s="293"/>
      <c r="AJ46" s="293"/>
      <c r="AK46" s="293"/>
      <c r="AL46" s="293"/>
      <c r="AM46" s="293"/>
      <c r="AN46" s="293"/>
      <c r="AO46" s="293"/>
      <c r="AP46" s="293"/>
      <c r="AQ46" s="293"/>
      <c r="AR46" s="293"/>
      <c r="AS46" s="293"/>
      <c r="AT46" s="293"/>
      <c r="AU46" s="293"/>
      <c r="AV46" s="293"/>
      <c r="AW46" s="293"/>
      <c r="AX46" s="293"/>
      <c r="AY46" s="293"/>
      <c r="AZ46" s="293"/>
      <c r="BA46" s="293"/>
      <c r="BB46" s="293"/>
      <c r="BC46" s="294"/>
      <c r="BD46" s="295" t="s">
        <v>377</v>
      </c>
      <c r="BN46" s="14" t="s">
        <v>364</v>
      </c>
      <c r="BO46" s="350" t="s">
        <v>365</v>
      </c>
      <c r="BP46" s="15" t="s">
        <v>478</v>
      </c>
      <c r="BQ46" s="351" t="s">
        <v>479</v>
      </c>
      <c r="BS46" s="86" t="s">
        <v>147</v>
      </c>
      <c r="BT46" s="86" t="s">
        <v>148</v>
      </c>
      <c r="BU46" s="87" t="s">
        <v>472</v>
      </c>
      <c r="BV46" s="84"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1" t="s">
        <v>462</v>
      </c>
      <c r="EC46" s="302" t="s">
        <v>463</v>
      </c>
      <c r="ED46" s="303" t="s">
        <v>1291</v>
      </c>
      <c r="EE46" s="304">
        <v>10</v>
      </c>
      <c r="EF46" s="305">
        <v>30</v>
      </c>
      <c r="EG46" s="264"/>
      <c r="EH46" s="264"/>
      <c r="EI46" s="264"/>
      <c r="EJ46" s="264"/>
      <c r="EL46" s="822" t="s">
        <v>480</v>
      </c>
      <c r="EM46" s="312" t="s">
        <v>477</v>
      </c>
      <c r="EN46" s="268" t="s">
        <v>453</v>
      </c>
      <c r="EO46" s="268">
        <v>0</v>
      </c>
      <c r="EP46" s="268">
        <v>2</v>
      </c>
      <c r="EQ46" s="270">
        <v>0.5</v>
      </c>
      <c r="ER46" s="270">
        <v>0.5</v>
      </c>
      <c r="ES46" s="270">
        <v>0.5</v>
      </c>
      <c r="ET46" s="823">
        <v>0.5</v>
      </c>
    </row>
    <row r="47" spans="1:150" ht="51.75" customHeight="1" x14ac:dyDescent="0.25">
      <c r="A47" s="271" t="s">
        <v>53</v>
      </c>
      <c r="B47" s="463" t="s">
        <v>54</v>
      </c>
      <c r="C47" s="464" t="s">
        <v>55</v>
      </c>
      <c r="D47" s="447"/>
      <c r="E47" s="8" t="s">
        <v>372</v>
      </c>
      <c r="F47" s="275" t="str">
        <f t="shared" si="4"/>
        <v>E1.P_B</v>
      </c>
      <c r="G47" s="465" t="s">
        <v>79</v>
      </c>
      <c r="H47" s="465" t="s">
        <v>152</v>
      </c>
      <c r="I47" s="452"/>
      <c r="J47" s="453" t="s">
        <v>212</v>
      </c>
      <c r="K47" s="368" t="str">
        <f t="shared" si="5"/>
        <v>E1.P_B.MR3</v>
      </c>
      <c r="L47" s="466" t="s">
        <v>148</v>
      </c>
      <c r="M47" s="467" t="s">
        <v>451</v>
      </c>
      <c r="N47" s="282">
        <v>0</v>
      </c>
      <c r="O47" s="282">
        <v>20</v>
      </c>
      <c r="P47" s="371" t="s">
        <v>122</v>
      </c>
      <c r="Q47" s="372" t="str">
        <f t="shared" si="6"/>
        <v>E1.P_B.MR3-MP05-1</v>
      </c>
      <c r="R47" s="416" t="s">
        <v>485</v>
      </c>
      <c r="S47" s="308" t="s">
        <v>453</v>
      </c>
      <c r="T47" s="287">
        <v>0</v>
      </c>
      <c r="U47" s="288">
        <v>2</v>
      </c>
      <c r="V47" s="287" t="s">
        <v>67</v>
      </c>
      <c r="W47" s="309">
        <v>0.5</v>
      </c>
      <c r="X47" s="324">
        <v>0.5</v>
      </c>
      <c r="Y47" s="309">
        <v>0.5</v>
      </c>
      <c r="Z47" s="310">
        <v>0.5</v>
      </c>
      <c r="AA47" s="292"/>
      <c r="AB47" s="293"/>
      <c r="AC47" s="293"/>
      <c r="AD47" s="293"/>
      <c r="AE47" s="293"/>
      <c r="AF47" s="293"/>
      <c r="AG47" s="293"/>
      <c r="AH47" s="293"/>
      <c r="AI47" s="293"/>
      <c r="AJ47" s="293"/>
      <c r="AK47" s="293"/>
      <c r="AL47" s="293"/>
      <c r="AM47" s="293"/>
      <c r="AN47" s="293"/>
      <c r="AO47" s="293"/>
      <c r="AP47" s="293"/>
      <c r="AQ47" s="293"/>
      <c r="AR47" s="293"/>
      <c r="AS47" s="293"/>
      <c r="AT47" s="293"/>
      <c r="AU47" s="293"/>
      <c r="AV47" s="293"/>
      <c r="AW47" s="293"/>
      <c r="AX47" s="293"/>
      <c r="AY47" s="293"/>
      <c r="AZ47" s="293"/>
      <c r="BA47" s="293"/>
      <c r="BB47" s="293"/>
      <c r="BC47" s="294"/>
      <c r="BD47" s="295" t="s">
        <v>377</v>
      </c>
      <c r="BN47" s="20" t="s">
        <v>378</v>
      </c>
      <c r="BO47" s="468" t="s">
        <v>379</v>
      </c>
      <c r="BP47" s="6" t="s">
        <v>486</v>
      </c>
      <c r="BQ47" s="263" t="s">
        <v>487</v>
      </c>
      <c r="BS47" s="86" t="s">
        <v>147</v>
      </c>
      <c r="BT47" s="86" t="s">
        <v>148</v>
      </c>
      <c r="BU47" s="87" t="s">
        <v>480</v>
      </c>
      <c r="BV47" s="84"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1" t="s">
        <v>470</v>
      </c>
      <c r="EC47" s="302" t="s">
        <v>471</v>
      </c>
      <c r="ED47" s="303" t="s">
        <v>1304</v>
      </c>
      <c r="EE47" s="304">
        <v>100</v>
      </c>
      <c r="EF47" s="305">
        <v>100</v>
      </c>
      <c r="EG47" s="264"/>
      <c r="EH47" s="264"/>
      <c r="EI47" s="264"/>
      <c r="EJ47" s="264"/>
      <c r="EL47" s="822" t="s">
        <v>488</v>
      </c>
      <c r="EM47" s="312" t="s">
        <v>485</v>
      </c>
      <c r="EN47" s="268" t="s">
        <v>453</v>
      </c>
      <c r="EO47" s="268">
        <v>0</v>
      </c>
      <c r="EP47" s="268">
        <v>2</v>
      </c>
      <c r="EQ47" s="270">
        <v>0.5</v>
      </c>
      <c r="ER47" s="270">
        <v>0.5</v>
      </c>
      <c r="ES47" s="270">
        <v>0.5</v>
      </c>
      <c r="ET47" s="823">
        <v>0.5</v>
      </c>
    </row>
    <row r="48" spans="1:150" ht="50.25" customHeight="1" x14ac:dyDescent="0.25">
      <c r="A48" s="271" t="s">
        <v>53</v>
      </c>
      <c r="B48" s="463" t="s">
        <v>54</v>
      </c>
      <c r="C48" s="464" t="s">
        <v>55</v>
      </c>
      <c r="D48" s="447"/>
      <c r="E48" s="8" t="s">
        <v>372</v>
      </c>
      <c r="F48" s="275" t="str">
        <f t="shared" si="4"/>
        <v>E1.P_B</v>
      </c>
      <c r="G48" s="465" t="s">
        <v>79</v>
      </c>
      <c r="H48" s="465" t="s">
        <v>152</v>
      </c>
      <c r="I48" s="452"/>
      <c r="J48" s="453" t="s">
        <v>212</v>
      </c>
      <c r="K48" s="368" t="str">
        <f t="shared" si="5"/>
        <v>E1.P_B.MR3</v>
      </c>
      <c r="L48" s="466" t="s">
        <v>148</v>
      </c>
      <c r="M48" s="467" t="s">
        <v>451</v>
      </c>
      <c r="N48" s="282">
        <v>0</v>
      </c>
      <c r="O48" s="282">
        <v>20</v>
      </c>
      <c r="P48" s="371" t="s">
        <v>132</v>
      </c>
      <c r="Q48" s="372" t="str">
        <f t="shared" si="6"/>
        <v>E1.P_B.MR3-MP06-1</v>
      </c>
      <c r="R48" s="416" t="s">
        <v>493</v>
      </c>
      <c r="S48" s="308" t="s">
        <v>453</v>
      </c>
      <c r="T48" s="287">
        <v>0</v>
      </c>
      <c r="U48" s="288">
        <v>3</v>
      </c>
      <c r="V48" s="287" t="s">
        <v>67</v>
      </c>
      <c r="W48" s="315">
        <v>0.75</v>
      </c>
      <c r="X48" s="316">
        <v>0.75</v>
      </c>
      <c r="Y48" s="315">
        <v>0.75</v>
      </c>
      <c r="Z48" s="317">
        <v>0.75</v>
      </c>
      <c r="AA48" s="292"/>
      <c r="AB48" s="293"/>
      <c r="AC48" s="293"/>
      <c r="AD48" s="293"/>
      <c r="AE48" s="293"/>
      <c r="AF48" s="293"/>
      <c r="AG48" s="293"/>
      <c r="AH48" s="293"/>
      <c r="AI48" s="293"/>
      <c r="AJ48" s="293"/>
      <c r="AK48" s="293"/>
      <c r="AL48" s="293"/>
      <c r="AM48" s="293"/>
      <c r="AN48" s="293"/>
      <c r="AO48" s="293"/>
      <c r="AP48" s="293"/>
      <c r="AQ48" s="293"/>
      <c r="AR48" s="293"/>
      <c r="AS48" s="293"/>
      <c r="AT48" s="293"/>
      <c r="AU48" s="293"/>
      <c r="AV48" s="293"/>
      <c r="AW48" s="293"/>
      <c r="AX48" s="293"/>
      <c r="AY48" s="293"/>
      <c r="AZ48" s="293"/>
      <c r="BA48" s="293"/>
      <c r="BB48" s="293"/>
      <c r="BC48" s="294"/>
      <c r="BD48" s="295" t="s">
        <v>377</v>
      </c>
      <c r="BN48" s="10" t="s">
        <v>378</v>
      </c>
      <c r="BO48" s="299" t="s">
        <v>379</v>
      </c>
      <c r="BP48" s="11" t="s">
        <v>494</v>
      </c>
      <c r="BQ48" s="300" t="s">
        <v>495</v>
      </c>
      <c r="BS48" s="86" t="s">
        <v>147</v>
      </c>
      <c r="BT48" s="86" t="s">
        <v>148</v>
      </c>
      <c r="BU48" s="87" t="s">
        <v>488</v>
      </c>
      <c r="BV48" s="84"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1" t="s">
        <v>478</v>
      </c>
      <c r="EC48" s="302" t="s">
        <v>479</v>
      </c>
      <c r="ED48" s="303" t="s">
        <v>1338</v>
      </c>
      <c r="EE48" s="304">
        <v>0</v>
      </c>
      <c r="EF48" s="305">
        <v>23</v>
      </c>
      <c r="EG48" s="264"/>
      <c r="EH48" s="264"/>
      <c r="EI48" s="264"/>
      <c r="EJ48" s="264"/>
      <c r="EL48" s="822" t="s">
        <v>496</v>
      </c>
      <c r="EM48" s="312" t="s">
        <v>493</v>
      </c>
      <c r="EN48" s="268" t="s">
        <v>453</v>
      </c>
      <c r="EO48" s="268">
        <v>0</v>
      </c>
      <c r="EP48" s="268">
        <v>3</v>
      </c>
      <c r="EQ48" s="323">
        <v>0.75</v>
      </c>
      <c r="ER48" s="323">
        <v>0.75</v>
      </c>
      <c r="ES48" s="323">
        <v>0.75</v>
      </c>
      <c r="ET48" s="819">
        <v>0.75</v>
      </c>
    </row>
    <row r="49" spans="1:150" ht="52.5" customHeight="1" x14ac:dyDescent="0.2">
      <c r="A49" s="271" t="s">
        <v>53</v>
      </c>
      <c r="B49" s="463" t="s">
        <v>54</v>
      </c>
      <c r="C49" s="464" t="s">
        <v>55</v>
      </c>
      <c r="D49" s="447"/>
      <c r="E49" s="8" t="s">
        <v>372</v>
      </c>
      <c r="F49" s="275" t="str">
        <f t="shared" si="4"/>
        <v>E1.P_B</v>
      </c>
      <c r="G49" s="465" t="s">
        <v>79</v>
      </c>
      <c r="H49" s="465" t="s">
        <v>152</v>
      </c>
      <c r="I49" s="452"/>
      <c r="J49" s="453" t="s">
        <v>212</v>
      </c>
      <c r="K49" s="368" t="str">
        <f t="shared" si="5"/>
        <v>E1.P_B.MR3</v>
      </c>
      <c r="L49" s="466" t="s">
        <v>148</v>
      </c>
      <c r="M49" s="467" t="s">
        <v>451</v>
      </c>
      <c r="N49" s="282">
        <v>0</v>
      </c>
      <c r="O49" s="282">
        <v>20</v>
      </c>
      <c r="P49" s="371" t="s">
        <v>142</v>
      </c>
      <c r="Q49" s="372" t="str">
        <f t="shared" si="6"/>
        <v>E1.P_B.MR3-MP07-1</v>
      </c>
      <c r="R49" s="416" t="s">
        <v>501</v>
      </c>
      <c r="S49" s="308" t="s">
        <v>453</v>
      </c>
      <c r="T49" s="287">
        <v>0</v>
      </c>
      <c r="U49" s="288">
        <v>1</v>
      </c>
      <c r="V49" s="287" t="s">
        <v>67</v>
      </c>
      <c r="W49" s="315">
        <v>0.25</v>
      </c>
      <c r="X49" s="316">
        <v>0.25</v>
      </c>
      <c r="Y49" s="315">
        <v>0.25</v>
      </c>
      <c r="Z49" s="317">
        <v>0.25</v>
      </c>
      <c r="AA49" s="292"/>
      <c r="AB49" s="293"/>
      <c r="AC49" s="293"/>
      <c r="AD49" s="293"/>
      <c r="AE49" s="293"/>
      <c r="AF49" s="293"/>
      <c r="AG49" s="293"/>
      <c r="AH49" s="293"/>
      <c r="AI49" s="293"/>
      <c r="AJ49" s="293"/>
      <c r="AK49" s="293"/>
      <c r="AL49" s="293"/>
      <c r="AM49" s="293"/>
      <c r="AN49" s="293"/>
      <c r="AO49" s="293"/>
      <c r="AP49" s="293"/>
      <c r="AQ49" s="293"/>
      <c r="AR49" s="293"/>
      <c r="AS49" s="293"/>
      <c r="AT49" s="293"/>
      <c r="AU49" s="293"/>
      <c r="AV49" s="293"/>
      <c r="AW49" s="293"/>
      <c r="AX49" s="293"/>
      <c r="AY49" s="293"/>
      <c r="AZ49" s="293"/>
      <c r="BA49" s="293"/>
      <c r="BB49" s="293"/>
      <c r="BC49" s="294"/>
      <c r="BD49" s="295" t="s">
        <v>377</v>
      </c>
      <c r="BN49" s="10" t="s">
        <v>378</v>
      </c>
      <c r="BO49" s="299" t="s">
        <v>379</v>
      </c>
      <c r="BP49" s="11" t="s">
        <v>502</v>
      </c>
      <c r="BQ49" s="300" t="s">
        <v>503</v>
      </c>
      <c r="BS49" s="86" t="s">
        <v>147</v>
      </c>
      <c r="BT49" s="86" t="s">
        <v>148</v>
      </c>
      <c r="BU49" s="87" t="s">
        <v>496</v>
      </c>
      <c r="BV49" s="84"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1" t="s">
        <v>486</v>
      </c>
      <c r="EC49" s="302" t="s">
        <v>487</v>
      </c>
      <c r="ED49" s="302" t="s">
        <v>1352</v>
      </c>
      <c r="EE49" s="435" t="s">
        <v>1346</v>
      </c>
      <c r="EF49" s="469" t="s">
        <v>1347</v>
      </c>
      <c r="EG49" s="264"/>
      <c r="EH49" s="264"/>
      <c r="EI49" s="264"/>
      <c r="EJ49" s="264"/>
      <c r="EL49" s="822" t="s">
        <v>504</v>
      </c>
      <c r="EM49" s="312" t="s">
        <v>501</v>
      </c>
      <c r="EN49" s="268" t="s">
        <v>453</v>
      </c>
      <c r="EO49" s="268">
        <v>0</v>
      </c>
      <c r="EP49" s="268">
        <v>1</v>
      </c>
      <c r="EQ49" s="323">
        <v>0.25</v>
      </c>
      <c r="ER49" s="323">
        <v>0.25</v>
      </c>
      <c r="ES49" s="323">
        <v>0.25</v>
      </c>
      <c r="ET49" s="819">
        <v>0.25</v>
      </c>
    </row>
    <row r="50" spans="1:150" ht="48.75" customHeight="1" thickBot="1" x14ac:dyDescent="0.25">
      <c r="A50" s="271" t="s">
        <v>53</v>
      </c>
      <c r="B50" s="463" t="s">
        <v>54</v>
      </c>
      <c r="C50" s="464" t="s">
        <v>55</v>
      </c>
      <c r="D50" s="447"/>
      <c r="E50" s="8" t="s">
        <v>372</v>
      </c>
      <c r="F50" s="275" t="str">
        <f t="shared" si="4"/>
        <v>E1.P_B</v>
      </c>
      <c r="G50" s="465" t="s">
        <v>79</v>
      </c>
      <c r="H50" s="465" t="s">
        <v>152</v>
      </c>
      <c r="I50" s="452"/>
      <c r="J50" s="453" t="s">
        <v>212</v>
      </c>
      <c r="K50" s="368" t="str">
        <f t="shared" si="5"/>
        <v>E1.P_B.MR3</v>
      </c>
      <c r="L50" s="466" t="s">
        <v>148</v>
      </c>
      <c r="M50" s="467" t="s">
        <v>451</v>
      </c>
      <c r="N50" s="282">
        <v>0</v>
      </c>
      <c r="O50" s="282">
        <v>20</v>
      </c>
      <c r="P50" s="371" t="s">
        <v>156</v>
      </c>
      <c r="Q50" s="372" t="str">
        <f t="shared" si="6"/>
        <v>E1.P_B.MR3-MP08-1</v>
      </c>
      <c r="R50" s="416" t="s">
        <v>509</v>
      </c>
      <c r="S50" s="308" t="s">
        <v>453</v>
      </c>
      <c r="T50" s="287">
        <v>0</v>
      </c>
      <c r="U50" s="288">
        <v>2</v>
      </c>
      <c r="V50" s="287" t="s">
        <v>67</v>
      </c>
      <c r="W50" s="309">
        <v>0.5</v>
      </c>
      <c r="X50" s="324">
        <v>0.5</v>
      </c>
      <c r="Y50" s="309">
        <v>0.5</v>
      </c>
      <c r="Z50" s="310">
        <v>0.5</v>
      </c>
      <c r="AA50" s="292"/>
      <c r="AB50" s="293"/>
      <c r="AC50" s="293"/>
      <c r="AD50" s="293"/>
      <c r="AE50" s="293"/>
      <c r="AF50" s="293"/>
      <c r="AG50" s="293"/>
      <c r="AH50" s="293"/>
      <c r="AI50" s="293"/>
      <c r="AJ50" s="293"/>
      <c r="AK50" s="293"/>
      <c r="AL50" s="293"/>
      <c r="AM50" s="293"/>
      <c r="AN50" s="293"/>
      <c r="AO50" s="293"/>
      <c r="AP50" s="293"/>
      <c r="AQ50" s="293"/>
      <c r="AR50" s="293"/>
      <c r="AS50" s="293"/>
      <c r="AT50" s="293"/>
      <c r="AU50" s="293"/>
      <c r="AV50" s="293"/>
      <c r="AW50" s="293"/>
      <c r="AX50" s="293"/>
      <c r="AY50" s="293"/>
      <c r="AZ50" s="293"/>
      <c r="BA50" s="293"/>
      <c r="BB50" s="293"/>
      <c r="BC50" s="294"/>
      <c r="BD50" s="295" t="s">
        <v>377</v>
      </c>
      <c r="BN50" s="12" t="s">
        <v>378</v>
      </c>
      <c r="BO50" s="325" t="s">
        <v>379</v>
      </c>
      <c r="BP50" s="13" t="s">
        <v>510</v>
      </c>
      <c r="BQ50" s="326" t="s">
        <v>511</v>
      </c>
      <c r="BS50" s="86" t="s">
        <v>147</v>
      </c>
      <c r="BT50" s="86" t="s">
        <v>148</v>
      </c>
      <c r="BU50" s="87" t="s">
        <v>504</v>
      </c>
      <c r="BV50" s="84"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1" t="s">
        <v>494</v>
      </c>
      <c r="EC50" s="302" t="s">
        <v>495</v>
      </c>
      <c r="ED50" s="303" t="s">
        <v>1352</v>
      </c>
      <c r="EE50" s="352" t="s">
        <v>1389</v>
      </c>
      <c r="EF50" s="352" t="s">
        <v>1390</v>
      </c>
      <c r="EG50" s="264"/>
      <c r="EH50" s="264"/>
      <c r="EI50" s="264"/>
      <c r="EJ50" s="264"/>
      <c r="EL50" s="822" t="s">
        <v>512</v>
      </c>
      <c r="EM50" s="312" t="s">
        <v>509</v>
      </c>
      <c r="EN50" s="268" t="s">
        <v>453</v>
      </c>
      <c r="EO50" s="268">
        <v>0</v>
      </c>
      <c r="EP50" s="268">
        <v>2</v>
      </c>
      <c r="EQ50" s="270">
        <v>0.5</v>
      </c>
      <c r="ER50" s="270">
        <v>0.5</v>
      </c>
      <c r="ES50" s="270">
        <v>0.5</v>
      </c>
      <c r="ET50" s="823">
        <v>0.5</v>
      </c>
    </row>
    <row r="51" spans="1:150" ht="50.25" customHeight="1" x14ac:dyDescent="0.2">
      <c r="A51" s="271" t="s">
        <v>53</v>
      </c>
      <c r="B51" s="463" t="s">
        <v>54</v>
      </c>
      <c r="C51" s="464" t="s">
        <v>55</v>
      </c>
      <c r="D51" s="447"/>
      <c r="E51" s="8" t="s">
        <v>372</v>
      </c>
      <c r="F51" s="275" t="str">
        <f t="shared" si="4"/>
        <v>E1.P_B</v>
      </c>
      <c r="G51" s="465" t="s">
        <v>79</v>
      </c>
      <c r="H51" s="465" t="s">
        <v>152</v>
      </c>
      <c r="I51" s="452"/>
      <c r="J51" s="453" t="s">
        <v>212</v>
      </c>
      <c r="K51" s="368" t="str">
        <f t="shared" si="5"/>
        <v>E1.P_B.MR3</v>
      </c>
      <c r="L51" s="466" t="s">
        <v>148</v>
      </c>
      <c r="M51" s="467" t="s">
        <v>451</v>
      </c>
      <c r="N51" s="282">
        <v>0</v>
      </c>
      <c r="O51" s="282">
        <v>20</v>
      </c>
      <c r="P51" s="371" t="s">
        <v>515</v>
      </c>
      <c r="Q51" s="372" t="str">
        <f t="shared" si="6"/>
        <v>E1.P_B.MR3-MP09-1</v>
      </c>
      <c r="R51" s="416" t="s">
        <v>516</v>
      </c>
      <c r="S51" s="308" t="s">
        <v>453</v>
      </c>
      <c r="T51" s="287">
        <v>0</v>
      </c>
      <c r="U51" s="288">
        <v>3</v>
      </c>
      <c r="V51" s="287" t="s">
        <v>67</v>
      </c>
      <c r="W51" s="315">
        <v>0.75</v>
      </c>
      <c r="X51" s="316">
        <v>0.75</v>
      </c>
      <c r="Y51" s="315">
        <v>0.75</v>
      </c>
      <c r="Z51" s="317">
        <v>0.75</v>
      </c>
      <c r="AA51" s="292"/>
      <c r="AB51" s="293"/>
      <c r="AC51" s="293"/>
      <c r="AD51" s="293"/>
      <c r="AE51" s="293"/>
      <c r="AF51" s="293"/>
      <c r="AG51" s="293"/>
      <c r="AH51" s="293"/>
      <c r="AI51" s="293"/>
      <c r="AJ51" s="293"/>
      <c r="AK51" s="293"/>
      <c r="AL51" s="293"/>
      <c r="AM51" s="293"/>
      <c r="AN51" s="293"/>
      <c r="AO51" s="293"/>
      <c r="AP51" s="293"/>
      <c r="AQ51" s="293"/>
      <c r="AR51" s="293"/>
      <c r="AS51" s="293"/>
      <c r="AT51" s="293"/>
      <c r="AU51" s="293"/>
      <c r="AV51" s="293"/>
      <c r="AW51" s="293"/>
      <c r="AX51" s="293"/>
      <c r="AY51" s="293"/>
      <c r="AZ51" s="293"/>
      <c r="BA51" s="293"/>
      <c r="BB51" s="293"/>
      <c r="BC51" s="294"/>
      <c r="BD51" s="295" t="s">
        <v>377</v>
      </c>
      <c r="BN51" s="5" t="s">
        <v>390</v>
      </c>
      <c r="BO51" s="262" t="s">
        <v>391</v>
      </c>
      <c r="BP51" s="6" t="s">
        <v>517</v>
      </c>
      <c r="BQ51" s="263" t="s">
        <v>518</v>
      </c>
      <c r="BS51" s="86" t="s">
        <v>147</v>
      </c>
      <c r="BT51" s="86" t="s">
        <v>148</v>
      </c>
      <c r="BU51" s="87" t="s">
        <v>512</v>
      </c>
      <c r="BV51" s="84"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1" t="s">
        <v>502</v>
      </c>
      <c r="EC51" s="302" t="s">
        <v>503</v>
      </c>
      <c r="ED51" s="311" t="s">
        <v>1352</v>
      </c>
      <c r="EE51" s="352" t="s">
        <v>1423</v>
      </c>
      <c r="EF51" s="352" t="s">
        <v>1424</v>
      </c>
      <c r="EG51" s="264"/>
      <c r="EH51" s="264"/>
      <c r="EI51" s="264"/>
      <c r="EJ51" s="264"/>
      <c r="EL51" s="822" t="s">
        <v>519</v>
      </c>
      <c r="EM51" s="312" t="s">
        <v>516</v>
      </c>
      <c r="EN51" s="268" t="s">
        <v>453</v>
      </c>
      <c r="EO51" s="268">
        <v>0</v>
      </c>
      <c r="EP51" s="268">
        <v>3</v>
      </c>
      <c r="EQ51" s="323">
        <v>0.75</v>
      </c>
      <c r="ER51" s="323">
        <v>0.75</v>
      </c>
      <c r="ES51" s="323">
        <v>0.75</v>
      </c>
      <c r="ET51" s="819">
        <v>0.75</v>
      </c>
    </row>
    <row r="52" spans="1:150" ht="51.75" customHeight="1" thickBot="1" x14ac:dyDescent="0.25">
      <c r="A52" s="271" t="s">
        <v>53</v>
      </c>
      <c r="B52" s="463" t="s">
        <v>54</v>
      </c>
      <c r="C52" s="464" t="s">
        <v>55</v>
      </c>
      <c r="D52" s="447"/>
      <c r="E52" s="8" t="s">
        <v>372</v>
      </c>
      <c r="F52" s="275" t="str">
        <f t="shared" si="4"/>
        <v>E1.P_B</v>
      </c>
      <c r="G52" s="470" t="s">
        <v>79</v>
      </c>
      <c r="H52" s="465" t="s">
        <v>152</v>
      </c>
      <c r="I52" s="452"/>
      <c r="J52" s="453" t="s">
        <v>212</v>
      </c>
      <c r="K52" s="368" t="str">
        <f t="shared" si="5"/>
        <v>E1.P_B.MR3</v>
      </c>
      <c r="L52" s="466" t="s">
        <v>148</v>
      </c>
      <c r="M52" s="467" t="s">
        <v>451</v>
      </c>
      <c r="N52" s="422">
        <v>0</v>
      </c>
      <c r="O52" s="422">
        <v>20</v>
      </c>
      <c r="P52" s="371" t="s">
        <v>522</v>
      </c>
      <c r="Q52" s="386" t="str">
        <f t="shared" si="6"/>
        <v>E1.P_B.MR3-MP10-1</v>
      </c>
      <c r="R52" s="471" t="s">
        <v>523</v>
      </c>
      <c r="S52" s="331" t="s">
        <v>453</v>
      </c>
      <c r="T52" s="345">
        <v>0</v>
      </c>
      <c r="U52" s="346">
        <v>1</v>
      </c>
      <c r="V52" s="345" t="s">
        <v>67</v>
      </c>
      <c r="W52" s="389">
        <v>0.25</v>
      </c>
      <c r="X52" s="390">
        <v>0.25</v>
      </c>
      <c r="Y52" s="389">
        <v>0.25</v>
      </c>
      <c r="Z52" s="391">
        <v>0.25</v>
      </c>
      <c r="AA52" s="292"/>
      <c r="AB52" s="293"/>
      <c r="AC52" s="293"/>
      <c r="AD52" s="293"/>
      <c r="AE52" s="293"/>
      <c r="AF52" s="293"/>
      <c r="AG52" s="293"/>
      <c r="AH52" s="293"/>
      <c r="AI52" s="293"/>
      <c r="AJ52" s="293"/>
      <c r="AK52" s="293"/>
      <c r="AL52" s="293"/>
      <c r="AM52" s="293"/>
      <c r="AN52" s="293"/>
      <c r="AO52" s="293"/>
      <c r="AP52" s="293"/>
      <c r="AQ52" s="293"/>
      <c r="AR52" s="293"/>
      <c r="AS52" s="293"/>
      <c r="AT52" s="293"/>
      <c r="AU52" s="293"/>
      <c r="AV52" s="293"/>
      <c r="AW52" s="293"/>
      <c r="AX52" s="293"/>
      <c r="AY52" s="293"/>
      <c r="AZ52" s="293"/>
      <c r="BA52" s="293"/>
      <c r="BB52" s="293"/>
      <c r="BC52" s="294"/>
      <c r="BD52" s="295" t="s">
        <v>377</v>
      </c>
      <c r="BN52" s="10" t="s">
        <v>390</v>
      </c>
      <c r="BO52" s="299" t="s">
        <v>391</v>
      </c>
      <c r="BP52" s="11" t="s">
        <v>524</v>
      </c>
      <c r="BQ52" s="300" t="s">
        <v>525</v>
      </c>
      <c r="BS52" s="86" t="s">
        <v>147</v>
      </c>
      <c r="BT52" s="86" t="s">
        <v>148</v>
      </c>
      <c r="BU52" s="87" t="s">
        <v>519</v>
      </c>
      <c r="BV52" s="84"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1" t="s">
        <v>510</v>
      </c>
      <c r="EC52" s="302" t="s">
        <v>511</v>
      </c>
      <c r="ED52" s="303" t="s">
        <v>1437</v>
      </c>
      <c r="EE52" s="304">
        <v>0</v>
      </c>
      <c r="EF52" s="435">
        <v>4</v>
      </c>
      <c r="EG52" s="264"/>
      <c r="EH52" s="264"/>
      <c r="EI52" s="264"/>
      <c r="EJ52" s="264"/>
      <c r="EL52" s="822" t="s">
        <v>526</v>
      </c>
      <c r="EM52" s="312" t="s">
        <v>523</v>
      </c>
      <c r="EN52" s="268" t="s">
        <v>453</v>
      </c>
      <c r="EO52" s="268">
        <v>0</v>
      </c>
      <c r="EP52" s="268">
        <v>1</v>
      </c>
      <c r="EQ52" s="323">
        <v>0.25</v>
      </c>
      <c r="ER52" s="323">
        <v>0.25</v>
      </c>
      <c r="ES52" s="323">
        <v>0.25</v>
      </c>
      <c r="ET52" s="819">
        <v>0.25</v>
      </c>
    </row>
    <row r="53" spans="1:150" ht="85.5" customHeight="1" x14ac:dyDescent="0.2">
      <c r="A53" s="271" t="s">
        <v>53</v>
      </c>
      <c r="B53" s="424" t="s">
        <v>54</v>
      </c>
      <c r="C53" s="425" t="s">
        <v>55</v>
      </c>
      <c r="D53" s="426" t="s">
        <v>529</v>
      </c>
      <c r="E53" s="3" t="s">
        <v>530</v>
      </c>
      <c r="F53" s="427" t="str">
        <f t="shared" si="4"/>
        <v>E1.P_C</v>
      </c>
      <c r="G53" s="472" t="s">
        <v>93</v>
      </c>
      <c r="H53" s="473" t="s">
        <v>187</v>
      </c>
      <c r="I53" s="399" t="s">
        <v>531</v>
      </c>
      <c r="J53" s="450" t="s">
        <v>61</v>
      </c>
      <c r="K53" s="451" t="str">
        <f t="shared" si="5"/>
        <v>E1.P_C.MR1</v>
      </c>
      <c r="L53" s="474" t="s">
        <v>162</v>
      </c>
      <c r="M53" s="356" t="s">
        <v>532</v>
      </c>
      <c r="N53" s="241">
        <v>3630</v>
      </c>
      <c r="O53" s="475">
        <v>3700</v>
      </c>
      <c r="P53" s="476" t="s">
        <v>64</v>
      </c>
      <c r="Q53" s="477" t="str">
        <f t="shared" si="6"/>
        <v>E1.P_C.MR1-MP01-1</v>
      </c>
      <c r="R53" s="412" t="s">
        <v>533</v>
      </c>
      <c r="S53" s="362" t="s">
        <v>534</v>
      </c>
      <c r="T53" s="478">
        <v>24</v>
      </c>
      <c r="U53" s="479">
        <v>34</v>
      </c>
      <c r="V53" s="478" t="s">
        <v>67</v>
      </c>
      <c r="W53" s="480">
        <v>34</v>
      </c>
      <c r="X53" s="481">
        <v>34</v>
      </c>
      <c r="Y53" s="480">
        <v>34</v>
      </c>
      <c r="Z53" s="482">
        <v>34</v>
      </c>
      <c r="AA53" s="432">
        <f>393837000+6500000+150000000+90000000+50000000+1406163000+500000000+200000000+30000000+293500000+300000000+150000000+90000000+156323606+25632360+74367640+75820050+39314100+28081500+137599350-815386000-1503599242</f>
        <v>1878153364</v>
      </c>
      <c r="AB53" s="433">
        <f>109719509+71256+824878270</f>
        <v>934669035</v>
      </c>
      <c r="AC53" s="433">
        <v>200000000</v>
      </c>
      <c r="AD53" s="433"/>
      <c r="AE53" s="433"/>
      <c r="AF53" s="433">
        <v>37177601</v>
      </c>
      <c r="AG53" s="433">
        <f t="shared" ref="AG53" si="14">SUM(AA53:AF53)</f>
        <v>3050000000</v>
      </c>
      <c r="AH53" s="433">
        <f t="shared" ref="AH53:AJ53" si="15">+AA53</f>
        <v>1878153364</v>
      </c>
      <c r="AI53" s="433">
        <f t="shared" si="15"/>
        <v>934669035</v>
      </c>
      <c r="AJ53" s="433">
        <f t="shared" si="15"/>
        <v>200000000</v>
      </c>
      <c r="AK53" s="433">
        <v>0</v>
      </c>
      <c r="AL53" s="433">
        <f t="shared" ref="AL53:AT53" si="16">+AE53</f>
        <v>0</v>
      </c>
      <c r="AM53" s="433">
        <f t="shared" si="16"/>
        <v>37177601</v>
      </c>
      <c r="AN53" s="433">
        <f t="shared" si="16"/>
        <v>3050000000</v>
      </c>
      <c r="AO53" s="433">
        <f t="shared" si="16"/>
        <v>1878153364</v>
      </c>
      <c r="AP53" s="433">
        <f t="shared" si="16"/>
        <v>934669035</v>
      </c>
      <c r="AQ53" s="433">
        <f t="shared" si="16"/>
        <v>200000000</v>
      </c>
      <c r="AR53" s="433">
        <v>0</v>
      </c>
      <c r="AS53" s="433">
        <f t="shared" si="16"/>
        <v>0</v>
      </c>
      <c r="AT53" s="433">
        <f t="shared" si="16"/>
        <v>37177601</v>
      </c>
      <c r="AU53" s="433">
        <f t="shared" ref="AU53" si="17">SUM(AO53:AT53)</f>
        <v>3050000000</v>
      </c>
      <c r="AV53" s="433">
        <f>+AO53</f>
        <v>1878153364</v>
      </c>
      <c r="AW53" s="433">
        <f t="shared" ref="AW53:BA53" si="18">+AP53</f>
        <v>934669035</v>
      </c>
      <c r="AX53" s="433">
        <f t="shared" si="18"/>
        <v>200000000</v>
      </c>
      <c r="AY53" s="433">
        <v>0</v>
      </c>
      <c r="AZ53" s="433">
        <f t="shared" si="18"/>
        <v>0</v>
      </c>
      <c r="BA53" s="433">
        <f t="shared" si="18"/>
        <v>37177601</v>
      </c>
      <c r="BB53" s="433">
        <f t="shared" ref="BB53" si="19">SUM(AV53:BA53)</f>
        <v>3050000000</v>
      </c>
      <c r="BC53" s="434">
        <f t="shared" ref="BC53" si="20">+BB53+AU53+AN53+AG53</f>
        <v>12200000000</v>
      </c>
      <c r="BD53" s="483" t="s">
        <v>535</v>
      </c>
      <c r="BN53" s="10" t="s">
        <v>390</v>
      </c>
      <c r="BO53" s="299" t="s">
        <v>391</v>
      </c>
      <c r="BP53" s="11" t="s">
        <v>536</v>
      </c>
      <c r="BQ53" s="300" t="s">
        <v>537</v>
      </c>
      <c r="BS53" s="86" t="s">
        <v>147</v>
      </c>
      <c r="BT53" s="86" t="s">
        <v>148</v>
      </c>
      <c r="BU53" s="87" t="s">
        <v>526</v>
      </c>
      <c r="BV53" s="84"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1" t="s">
        <v>517</v>
      </c>
      <c r="EC53" s="302" t="s">
        <v>518</v>
      </c>
      <c r="ED53" s="303" t="s">
        <v>1455</v>
      </c>
      <c r="EE53" s="435">
        <v>635</v>
      </c>
      <c r="EF53" s="435">
        <v>571</v>
      </c>
      <c r="EG53" s="264"/>
      <c r="EH53" s="264"/>
      <c r="EI53" s="264"/>
      <c r="EJ53" s="264"/>
      <c r="EL53" s="828" t="s">
        <v>538</v>
      </c>
      <c r="EM53" s="312" t="s">
        <v>533</v>
      </c>
      <c r="EN53" s="268" t="s">
        <v>534</v>
      </c>
      <c r="EO53" s="380">
        <v>24</v>
      </c>
      <c r="EP53" s="380">
        <v>34</v>
      </c>
      <c r="EQ53" s="484">
        <v>34</v>
      </c>
      <c r="ER53" s="484">
        <v>34</v>
      </c>
      <c r="ES53" s="484">
        <v>34</v>
      </c>
      <c r="ET53" s="829">
        <v>34</v>
      </c>
    </row>
    <row r="54" spans="1:150" ht="51.75" customHeight="1" thickBot="1" x14ac:dyDescent="0.25">
      <c r="A54" s="271" t="s">
        <v>53</v>
      </c>
      <c r="B54" s="424" t="s">
        <v>54</v>
      </c>
      <c r="C54" s="425" t="s">
        <v>55</v>
      </c>
      <c r="D54" s="425"/>
      <c r="E54" s="8" t="s">
        <v>530</v>
      </c>
      <c r="F54" s="275" t="str">
        <f t="shared" si="4"/>
        <v>E1.P_C</v>
      </c>
      <c r="G54" s="485" t="s">
        <v>93</v>
      </c>
      <c r="H54" s="485" t="s">
        <v>187</v>
      </c>
      <c r="I54" s="277"/>
      <c r="J54" s="453" t="s">
        <v>61</v>
      </c>
      <c r="K54" s="368" t="str">
        <f t="shared" si="5"/>
        <v>E1.P_C.MR1</v>
      </c>
      <c r="L54" s="486" t="s">
        <v>162</v>
      </c>
      <c r="M54" s="486" t="s">
        <v>532</v>
      </c>
      <c r="N54" s="282">
        <v>3630</v>
      </c>
      <c r="O54" s="487">
        <v>3700</v>
      </c>
      <c r="P54" s="476" t="s">
        <v>87</v>
      </c>
      <c r="Q54" s="488" t="str">
        <f t="shared" si="6"/>
        <v>E1.P_C.MR1-MP02-1</v>
      </c>
      <c r="R54" s="416" t="s">
        <v>544</v>
      </c>
      <c r="S54" s="308" t="s">
        <v>545</v>
      </c>
      <c r="T54" s="287">
        <v>3</v>
      </c>
      <c r="U54" s="288">
        <v>5</v>
      </c>
      <c r="V54" s="287" t="s">
        <v>67</v>
      </c>
      <c r="W54" s="289">
        <v>0</v>
      </c>
      <c r="X54" s="290">
        <v>2</v>
      </c>
      <c r="Y54" s="289">
        <v>1</v>
      </c>
      <c r="Z54" s="291">
        <v>1</v>
      </c>
      <c r="AA54" s="292"/>
      <c r="AB54" s="293"/>
      <c r="AC54" s="293"/>
      <c r="AD54" s="293"/>
      <c r="AE54" s="293"/>
      <c r="AF54" s="293"/>
      <c r="AG54" s="293"/>
      <c r="AH54" s="293"/>
      <c r="AI54" s="293"/>
      <c r="AJ54" s="293"/>
      <c r="AK54" s="293"/>
      <c r="AL54" s="293"/>
      <c r="AM54" s="293"/>
      <c r="AN54" s="293"/>
      <c r="AO54" s="293"/>
      <c r="AP54" s="293"/>
      <c r="AQ54" s="293"/>
      <c r="AR54" s="293"/>
      <c r="AS54" s="293"/>
      <c r="AT54" s="293"/>
      <c r="AU54" s="293"/>
      <c r="AV54" s="293"/>
      <c r="AW54" s="293"/>
      <c r="AX54" s="293"/>
      <c r="AY54" s="293"/>
      <c r="AZ54" s="293"/>
      <c r="BA54" s="293"/>
      <c r="BB54" s="293"/>
      <c r="BC54" s="294"/>
      <c r="BD54" s="295" t="s">
        <v>535</v>
      </c>
      <c r="BN54" s="12" t="s">
        <v>390</v>
      </c>
      <c r="BO54" s="325" t="s">
        <v>391</v>
      </c>
      <c r="BP54" s="13" t="s">
        <v>546</v>
      </c>
      <c r="BQ54" s="326" t="s">
        <v>547</v>
      </c>
      <c r="BS54" s="84" t="s">
        <v>161</v>
      </c>
      <c r="BT54" s="84" t="s">
        <v>162</v>
      </c>
      <c r="BU54" s="87" t="s">
        <v>538</v>
      </c>
      <c r="BV54" s="84"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1" t="s">
        <v>524</v>
      </c>
      <c r="EC54" s="302" t="s">
        <v>525</v>
      </c>
      <c r="ED54" s="303" t="s">
        <v>1486</v>
      </c>
      <c r="EE54" s="352">
        <v>277</v>
      </c>
      <c r="EF54" s="352">
        <v>249</v>
      </c>
      <c r="EG54" s="264"/>
      <c r="EH54" s="264"/>
      <c r="EI54" s="264"/>
      <c r="EJ54" s="264"/>
      <c r="EL54" s="828" t="s">
        <v>548</v>
      </c>
      <c r="EM54" s="312" t="s">
        <v>544</v>
      </c>
      <c r="EN54" s="268" t="s">
        <v>545</v>
      </c>
      <c r="EO54" s="268">
        <v>3</v>
      </c>
      <c r="EP54" s="268">
        <v>5</v>
      </c>
      <c r="EQ54" s="803">
        <v>0</v>
      </c>
      <c r="ER54" s="808">
        <v>0</v>
      </c>
      <c r="ES54" s="808">
        <v>1</v>
      </c>
      <c r="ET54" s="830">
        <v>1</v>
      </c>
    </row>
    <row r="55" spans="1:150" ht="63" customHeight="1" thickBot="1" x14ac:dyDescent="0.3">
      <c r="A55" s="271" t="s">
        <v>53</v>
      </c>
      <c r="B55" s="424" t="s">
        <v>54</v>
      </c>
      <c r="C55" s="425" t="s">
        <v>55</v>
      </c>
      <c r="D55" s="425"/>
      <c r="E55" s="8" t="s">
        <v>530</v>
      </c>
      <c r="F55" s="275" t="str">
        <f t="shared" si="4"/>
        <v>E1.P_C</v>
      </c>
      <c r="G55" s="485" t="s">
        <v>93</v>
      </c>
      <c r="H55" s="485" t="s">
        <v>187</v>
      </c>
      <c r="I55" s="277"/>
      <c r="J55" s="453" t="s">
        <v>61</v>
      </c>
      <c r="K55" s="368" t="str">
        <f t="shared" si="5"/>
        <v>E1.P_C.MR1</v>
      </c>
      <c r="L55" s="486" t="s">
        <v>162</v>
      </c>
      <c r="M55" s="486" t="s">
        <v>532</v>
      </c>
      <c r="N55" s="282">
        <v>3630</v>
      </c>
      <c r="O55" s="487">
        <v>3700</v>
      </c>
      <c r="P55" s="476" t="s">
        <v>99</v>
      </c>
      <c r="Q55" s="488" t="str">
        <f t="shared" si="6"/>
        <v>E1.P_C.MR1-MP03-1</v>
      </c>
      <c r="R55" s="416" t="s">
        <v>551</v>
      </c>
      <c r="S55" s="308" t="s">
        <v>552</v>
      </c>
      <c r="T55" s="287">
        <v>62</v>
      </c>
      <c r="U55" s="288">
        <v>120</v>
      </c>
      <c r="V55" s="287" t="s">
        <v>67</v>
      </c>
      <c r="W55" s="289">
        <v>30</v>
      </c>
      <c r="X55" s="290">
        <v>30</v>
      </c>
      <c r="Y55" s="289">
        <v>30</v>
      </c>
      <c r="Z55" s="291">
        <v>30</v>
      </c>
      <c r="AA55" s="292"/>
      <c r="AB55" s="293"/>
      <c r="AC55" s="293"/>
      <c r="AD55" s="293"/>
      <c r="AE55" s="293"/>
      <c r="AF55" s="293"/>
      <c r="AG55" s="293"/>
      <c r="AH55" s="293"/>
      <c r="AI55" s="293"/>
      <c r="AJ55" s="293"/>
      <c r="AK55" s="293"/>
      <c r="AL55" s="293"/>
      <c r="AM55" s="293"/>
      <c r="AN55" s="293"/>
      <c r="AO55" s="293"/>
      <c r="AP55" s="293"/>
      <c r="AQ55" s="293"/>
      <c r="AR55" s="293"/>
      <c r="AS55" s="293"/>
      <c r="AT55" s="293"/>
      <c r="AU55" s="293"/>
      <c r="AV55" s="293"/>
      <c r="AW55" s="293"/>
      <c r="AX55" s="293"/>
      <c r="AY55" s="293"/>
      <c r="AZ55" s="293"/>
      <c r="BA55" s="293"/>
      <c r="BB55" s="293"/>
      <c r="BC55" s="294"/>
      <c r="BD55" s="295" t="s">
        <v>535</v>
      </c>
      <c r="BN55" s="14" t="s">
        <v>401</v>
      </c>
      <c r="BO55" s="350" t="s">
        <v>402</v>
      </c>
      <c r="BP55" s="15" t="s">
        <v>553</v>
      </c>
      <c r="BQ55" s="351" t="s">
        <v>554</v>
      </c>
      <c r="BS55" s="86" t="s">
        <v>161</v>
      </c>
      <c r="BT55" s="86" t="s">
        <v>162</v>
      </c>
      <c r="BU55" s="87" t="s">
        <v>548</v>
      </c>
      <c r="BV55" s="84"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1" t="s">
        <v>536</v>
      </c>
      <c r="EC55" s="302" t="s">
        <v>537</v>
      </c>
      <c r="ED55" s="303" t="s">
        <v>1512</v>
      </c>
      <c r="EE55" s="489">
        <v>4.9000000000000004</v>
      </c>
      <c r="EF55" s="305">
        <v>5</v>
      </c>
      <c r="EG55" s="264"/>
      <c r="EH55" s="264"/>
      <c r="EI55" s="264"/>
      <c r="EJ55" s="264"/>
      <c r="EL55" s="828" t="s">
        <v>555</v>
      </c>
      <c r="EM55" s="312" t="s">
        <v>551</v>
      </c>
      <c r="EN55" s="268" t="s">
        <v>552</v>
      </c>
      <c r="EO55" s="268">
        <v>62</v>
      </c>
      <c r="EP55" s="268">
        <v>120</v>
      </c>
      <c r="EQ55" s="803">
        <v>30</v>
      </c>
      <c r="ER55" s="803">
        <v>30</v>
      </c>
      <c r="ES55" s="803">
        <v>30</v>
      </c>
      <c r="ET55" s="830">
        <v>30</v>
      </c>
    </row>
    <row r="56" spans="1:150" ht="63.75" customHeight="1" thickBot="1" x14ac:dyDescent="0.25">
      <c r="A56" s="271" t="s">
        <v>53</v>
      </c>
      <c r="B56" s="424" t="s">
        <v>54</v>
      </c>
      <c r="C56" s="425" t="s">
        <v>55</v>
      </c>
      <c r="D56" s="425"/>
      <c r="E56" s="8" t="s">
        <v>530</v>
      </c>
      <c r="F56" s="275" t="str">
        <f t="shared" si="4"/>
        <v>E1.P_C</v>
      </c>
      <c r="G56" s="485" t="s">
        <v>93</v>
      </c>
      <c r="H56" s="485" t="s">
        <v>187</v>
      </c>
      <c r="I56" s="277"/>
      <c r="J56" s="453" t="s">
        <v>61</v>
      </c>
      <c r="K56" s="368" t="str">
        <f t="shared" si="5"/>
        <v>E1.P_C.MR1</v>
      </c>
      <c r="L56" s="486" t="s">
        <v>162</v>
      </c>
      <c r="M56" s="486" t="s">
        <v>532</v>
      </c>
      <c r="N56" s="282">
        <v>3630</v>
      </c>
      <c r="O56" s="487">
        <v>3700</v>
      </c>
      <c r="P56" s="476" t="s">
        <v>112</v>
      </c>
      <c r="Q56" s="488" t="str">
        <f t="shared" si="6"/>
        <v>E1.P_C.MR1-MP04-1</v>
      </c>
      <c r="R56" s="416" t="s">
        <v>558</v>
      </c>
      <c r="S56" s="308" t="s">
        <v>559</v>
      </c>
      <c r="T56" s="287">
        <v>5</v>
      </c>
      <c r="U56" s="288">
        <v>5</v>
      </c>
      <c r="V56" s="287" t="s">
        <v>102</v>
      </c>
      <c r="W56" s="289">
        <v>5</v>
      </c>
      <c r="X56" s="290">
        <v>5</v>
      </c>
      <c r="Y56" s="289">
        <v>15</v>
      </c>
      <c r="Z56" s="291">
        <v>10</v>
      </c>
      <c r="AA56" s="292"/>
      <c r="AB56" s="293"/>
      <c r="AC56" s="293"/>
      <c r="AD56" s="293"/>
      <c r="AE56" s="293"/>
      <c r="AF56" s="293"/>
      <c r="AG56" s="293"/>
      <c r="AH56" s="293"/>
      <c r="AI56" s="293"/>
      <c r="AJ56" s="293"/>
      <c r="AK56" s="293"/>
      <c r="AL56" s="293"/>
      <c r="AM56" s="293"/>
      <c r="AN56" s="293"/>
      <c r="AO56" s="293"/>
      <c r="AP56" s="293"/>
      <c r="AQ56" s="293"/>
      <c r="AR56" s="293"/>
      <c r="AS56" s="293"/>
      <c r="AT56" s="293"/>
      <c r="AU56" s="293"/>
      <c r="AV56" s="293"/>
      <c r="AW56" s="293"/>
      <c r="AX56" s="293"/>
      <c r="AY56" s="293"/>
      <c r="AZ56" s="293"/>
      <c r="BA56" s="293"/>
      <c r="BB56" s="293"/>
      <c r="BC56" s="294"/>
      <c r="BD56" s="295" t="s">
        <v>535</v>
      </c>
      <c r="BN56" s="14" t="s">
        <v>412</v>
      </c>
      <c r="BO56" s="350" t="s">
        <v>413</v>
      </c>
      <c r="BP56" s="15" t="s">
        <v>560</v>
      </c>
      <c r="BQ56" s="351" t="s">
        <v>561</v>
      </c>
      <c r="BS56" s="86" t="s">
        <v>161</v>
      </c>
      <c r="BT56" s="86" t="s">
        <v>162</v>
      </c>
      <c r="BU56" s="87" t="s">
        <v>555</v>
      </c>
      <c r="BV56" s="84"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1" t="s">
        <v>546</v>
      </c>
      <c r="EC56" s="302" t="s">
        <v>547</v>
      </c>
      <c r="ED56" s="303" t="s">
        <v>1525</v>
      </c>
      <c r="EE56" s="435">
        <v>7357</v>
      </c>
      <c r="EF56" s="435">
        <v>11035</v>
      </c>
      <c r="EG56" s="264"/>
      <c r="EH56" s="264"/>
      <c r="EI56" s="264"/>
      <c r="EJ56" s="264"/>
      <c r="EL56" s="828" t="s">
        <v>562</v>
      </c>
      <c r="EM56" s="312" t="s">
        <v>558</v>
      </c>
      <c r="EN56" s="268" t="s">
        <v>559</v>
      </c>
      <c r="EO56" s="268">
        <v>5</v>
      </c>
      <c r="EP56" s="268">
        <v>5</v>
      </c>
      <c r="EQ56" s="803">
        <v>5</v>
      </c>
      <c r="ER56" s="803">
        <v>5</v>
      </c>
      <c r="ES56" s="803">
        <v>5</v>
      </c>
      <c r="ET56" s="830">
        <v>5</v>
      </c>
    </row>
    <row r="57" spans="1:150" ht="90" customHeight="1" x14ac:dyDescent="0.2">
      <c r="A57" s="271" t="s">
        <v>53</v>
      </c>
      <c r="B57" s="424" t="s">
        <v>54</v>
      </c>
      <c r="C57" s="425" t="s">
        <v>55</v>
      </c>
      <c r="D57" s="425"/>
      <c r="E57" s="8" t="s">
        <v>530</v>
      </c>
      <c r="F57" s="275" t="str">
        <f t="shared" si="4"/>
        <v>E1.P_C</v>
      </c>
      <c r="G57" s="485" t="s">
        <v>93</v>
      </c>
      <c r="H57" s="485" t="s">
        <v>187</v>
      </c>
      <c r="I57" s="277"/>
      <c r="J57" s="453" t="s">
        <v>61</v>
      </c>
      <c r="K57" s="368" t="str">
        <f t="shared" si="5"/>
        <v>E1.P_C.MR1</v>
      </c>
      <c r="L57" s="486" t="s">
        <v>162</v>
      </c>
      <c r="M57" s="486" t="s">
        <v>532</v>
      </c>
      <c r="N57" s="282">
        <v>3630</v>
      </c>
      <c r="O57" s="487">
        <v>3700</v>
      </c>
      <c r="P57" s="476" t="s">
        <v>122</v>
      </c>
      <c r="Q57" s="488" t="str">
        <f t="shared" si="6"/>
        <v>E1.P_C.MR1-MP05-1</v>
      </c>
      <c r="R57" s="416" t="s">
        <v>565</v>
      </c>
      <c r="S57" s="308" t="s">
        <v>566</v>
      </c>
      <c r="T57" s="287">
        <v>126</v>
      </c>
      <c r="U57" s="288">
        <v>126</v>
      </c>
      <c r="V57" s="287" t="s">
        <v>102</v>
      </c>
      <c r="W57" s="289">
        <v>126</v>
      </c>
      <c r="X57" s="290">
        <v>126</v>
      </c>
      <c r="Y57" s="289">
        <v>126</v>
      </c>
      <c r="Z57" s="291">
        <v>126</v>
      </c>
      <c r="AA57" s="292"/>
      <c r="AB57" s="293"/>
      <c r="AC57" s="293"/>
      <c r="AD57" s="293"/>
      <c r="AE57" s="293"/>
      <c r="AF57" s="293"/>
      <c r="AG57" s="293"/>
      <c r="AH57" s="293"/>
      <c r="AI57" s="293"/>
      <c r="AJ57" s="293"/>
      <c r="AK57" s="293"/>
      <c r="AL57" s="293"/>
      <c r="AM57" s="293"/>
      <c r="AN57" s="293"/>
      <c r="AO57" s="293"/>
      <c r="AP57" s="293"/>
      <c r="AQ57" s="293"/>
      <c r="AR57" s="293"/>
      <c r="AS57" s="293"/>
      <c r="AT57" s="293"/>
      <c r="AU57" s="293"/>
      <c r="AV57" s="293"/>
      <c r="AW57" s="293"/>
      <c r="AX57" s="293"/>
      <c r="AY57" s="293"/>
      <c r="AZ57" s="293"/>
      <c r="BA57" s="293"/>
      <c r="BB57" s="293"/>
      <c r="BC57" s="294"/>
      <c r="BD57" s="295" t="s">
        <v>535</v>
      </c>
      <c r="BN57" s="5" t="s">
        <v>423</v>
      </c>
      <c r="BO57" s="262" t="s">
        <v>424</v>
      </c>
      <c r="BP57" s="6" t="s">
        <v>567</v>
      </c>
      <c r="BQ57" s="263" t="s">
        <v>568</v>
      </c>
      <c r="BS57" s="86" t="s">
        <v>161</v>
      </c>
      <c r="BT57" s="86" t="s">
        <v>162</v>
      </c>
      <c r="BU57" s="87" t="s">
        <v>562</v>
      </c>
      <c r="BV57" s="84"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1" t="s">
        <v>553</v>
      </c>
      <c r="EC57" s="302" t="s">
        <v>554</v>
      </c>
      <c r="ED57" s="303" t="s">
        <v>1539</v>
      </c>
      <c r="EE57" s="352">
        <v>4</v>
      </c>
      <c r="EF57" s="352">
        <v>6</v>
      </c>
      <c r="EG57" s="264"/>
      <c r="EH57" s="264"/>
      <c r="EI57" s="264"/>
      <c r="EJ57" s="264"/>
      <c r="EL57" s="828" t="s">
        <v>569</v>
      </c>
      <c r="EM57" s="312" t="s">
        <v>565</v>
      </c>
      <c r="EN57" s="268" t="s">
        <v>566</v>
      </c>
      <c r="EO57" s="268">
        <v>126</v>
      </c>
      <c r="EP57" s="268">
        <v>126</v>
      </c>
      <c r="EQ57" s="269">
        <v>126</v>
      </c>
      <c r="ER57" s="269">
        <v>126</v>
      </c>
      <c r="ES57" s="269">
        <v>126</v>
      </c>
      <c r="ET57" s="820">
        <v>126</v>
      </c>
    </row>
    <row r="58" spans="1:150" ht="89.25" customHeight="1" x14ac:dyDescent="0.2">
      <c r="A58" s="271" t="s">
        <v>53</v>
      </c>
      <c r="B58" s="424" t="s">
        <v>54</v>
      </c>
      <c r="C58" s="425" t="s">
        <v>55</v>
      </c>
      <c r="D58" s="425"/>
      <c r="E58" s="8" t="s">
        <v>530</v>
      </c>
      <c r="F58" s="275" t="str">
        <f t="shared" si="4"/>
        <v>E1.P_C</v>
      </c>
      <c r="G58" s="485" t="s">
        <v>93</v>
      </c>
      <c r="H58" s="485" t="s">
        <v>187</v>
      </c>
      <c r="I58" s="277"/>
      <c r="J58" s="453" t="s">
        <v>61</v>
      </c>
      <c r="K58" s="368" t="str">
        <f t="shared" si="5"/>
        <v>E1.P_C.MR1</v>
      </c>
      <c r="L58" s="486" t="s">
        <v>162</v>
      </c>
      <c r="M58" s="486" t="s">
        <v>532</v>
      </c>
      <c r="N58" s="282">
        <v>3630</v>
      </c>
      <c r="O58" s="487">
        <v>3700</v>
      </c>
      <c r="P58" s="476" t="s">
        <v>132</v>
      </c>
      <c r="Q58" s="488" t="str">
        <f t="shared" si="6"/>
        <v>E1.P_C.MR1-MP06-1</v>
      </c>
      <c r="R58" s="416" t="s">
        <v>574</v>
      </c>
      <c r="S58" s="308" t="s">
        <v>575</v>
      </c>
      <c r="T58" s="287">
        <v>0</v>
      </c>
      <c r="U58" s="288">
        <v>25</v>
      </c>
      <c r="V58" s="287" t="s">
        <v>67</v>
      </c>
      <c r="W58" s="289">
        <v>0</v>
      </c>
      <c r="X58" s="290">
        <v>0</v>
      </c>
      <c r="Y58" s="289">
        <v>15</v>
      </c>
      <c r="Z58" s="291">
        <v>10</v>
      </c>
      <c r="AA58" s="292"/>
      <c r="AB58" s="293"/>
      <c r="AC58" s="293"/>
      <c r="AD58" s="293"/>
      <c r="AE58" s="293"/>
      <c r="AF58" s="293"/>
      <c r="AG58" s="293"/>
      <c r="AH58" s="293"/>
      <c r="AI58" s="293"/>
      <c r="AJ58" s="293"/>
      <c r="AK58" s="293"/>
      <c r="AL58" s="293"/>
      <c r="AM58" s="293"/>
      <c r="AN58" s="293"/>
      <c r="AO58" s="293"/>
      <c r="AP58" s="293"/>
      <c r="AQ58" s="293"/>
      <c r="AR58" s="293"/>
      <c r="AS58" s="293"/>
      <c r="AT58" s="293"/>
      <c r="AU58" s="293"/>
      <c r="AV58" s="293"/>
      <c r="AW58" s="293"/>
      <c r="AX58" s="293"/>
      <c r="AY58" s="293"/>
      <c r="AZ58" s="293"/>
      <c r="BA58" s="293"/>
      <c r="BB58" s="293"/>
      <c r="BC58" s="294"/>
      <c r="BD58" s="295" t="s">
        <v>535</v>
      </c>
      <c r="BN58" s="10" t="s">
        <v>423</v>
      </c>
      <c r="BO58" s="299" t="s">
        <v>424</v>
      </c>
      <c r="BP58" s="11" t="s">
        <v>576</v>
      </c>
      <c r="BQ58" s="300" t="s">
        <v>577</v>
      </c>
      <c r="BS58" s="86" t="s">
        <v>161</v>
      </c>
      <c r="BT58" s="86" t="s">
        <v>162</v>
      </c>
      <c r="BU58" s="87" t="s">
        <v>569</v>
      </c>
      <c r="BV58" s="84"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1" t="s">
        <v>560</v>
      </c>
      <c r="EC58" s="302" t="s">
        <v>561</v>
      </c>
      <c r="ED58" s="303" t="s">
        <v>1565</v>
      </c>
      <c r="EE58" s="352">
        <v>13959</v>
      </c>
      <c r="EF58" s="352">
        <v>15355</v>
      </c>
      <c r="EG58" s="264"/>
      <c r="EH58" s="264"/>
      <c r="EI58" s="264"/>
      <c r="EJ58" s="264"/>
      <c r="EL58" s="828" t="s">
        <v>578</v>
      </c>
      <c r="EM58" s="312" t="s">
        <v>574</v>
      </c>
      <c r="EN58" s="268" t="s">
        <v>575</v>
      </c>
      <c r="EO58" s="268">
        <v>0</v>
      </c>
      <c r="EP58" s="268">
        <v>25</v>
      </c>
      <c r="EQ58" s="269">
        <v>0</v>
      </c>
      <c r="ER58" s="269">
        <v>0</v>
      </c>
      <c r="ES58" s="808">
        <v>12</v>
      </c>
      <c r="ET58" s="824">
        <v>13</v>
      </c>
    </row>
    <row r="59" spans="1:150" ht="71.25" customHeight="1" thickBot="1" x14ac:dyDescent="0.25">
      <c r="A59" s="271" t="s">
        <v>53</v>
      </c>
      <c r="B59" s="424" t="s">
        <v>54</v>
      </c>
      <c r="C59" s="425" t="s">
        <v>55</v>
      </c>
      <c r="D59" s="425"/>
      <c r="E59" s="8" t="s">
        <v>530</v>
      </c>
      <c r="F59" s="275" t="str">
        <f t="shared" si="4"/>
        <v>E1.P_C</v>
      </c>
      <c r="G59" s="485" t="s">
        <v>93</v>
      </c>
      <c r="H59" s="485" t="s">
        <v>187</v>
      </c>
      <c r="I59" s="277"/>
      <c r="J59" s="453" t="s">
        <v>61</v>
      </c>
      <c r="K59" s="368" t="str">
        <f t="shared" si="5"/>
        <v>E1.P_C.MR1</v>
      </c>
      <c r="L59" s="486" t="s">
        <v>162</v>
      </c>
      <c r="M59" s="486" t="s">
        <v>532</v>
      </c>
      <c r="N59" s="282">
        <v>3630</v>
      </c>
      <c r="O59" s="487">
        <v>3700</v>
      </c>
      <c r="P59" s="476" t="s">
        <v>142</v>
      </c>
      <c r="Q59" s="488" t="str">
        <f t="shared" si="6"/>
        <v>E1.P_C.MR1-MP07-1</v>
      </c>
      <c r="R59" s="416" t="s">
        <v>583</v>
      </c>
      <c r="S59" s="308" t="s">
        <v>532</v>
      </c>
      <c r="T59" s="375">
        <v>3630</v>
      </c>
      <c r="U59" s="376">
        <v>3700</v>
      </c>
      <c r="V59" s="375" t="s">
        <v>67</v>
      </c>
      <c r="W59" s="289">
        <v>3200</v>
      </c>
      <c r="X59" s="290">
        <v>3300</v>
      </c>
      <c r="Y59" s="289">
        <v>3400</v>
      </c>
      <c r="Z59" s="291">
        <v>3700</v>
      </c>
      <c r="AA59" s="377"/>
      <c r="AB59" s="378"/>
      <c r="AC59" s="378"/>
      <c r="AD59" s="378"/>
      <c r="AE59" s="378"/>
      <c r="AF59" s="378"/>
      <c r="AG59" s="378"/>
      <c r="AH59" s="378"/>
      <c r="AI59" s="378"/>
      <c r="AJ59" s="378"/>
      <c r="AK59" s="378"/>
      <c r="AL59" s="378"/>
      <c r="AM59" s="378"/>
      <c r="AN59" s="378"/>
      <c r="AO59" s="378"/>
      <c r="AP59" s="378"/>
      <c r="AQ59" s="378"/>
      <c r="AR59" s="378"/>
      <c r="AS59" s="378"/>
      <c r="AT59" s="378"/>
      <c r="AU59" s="378"/>
      <c r="AV59" s="378"/>
      <c r="AW59" s="378"/>
      <c r="AX59" s="378"/>
      <c r="AY59" s="378"/>
      <c r="AZ59" s="378"/>
      <c r="BA59" s="378"/>
      <c r="BB59" s="378"/>
      <c r="BC59" s="379"/>
      <c r="BD59" s="295" t="s">
        <v>535</v>
      </c>
      <c r="BN59" s="12" t="s">
        <v>423</v>
      </c>
      <c r="BO59" s="325" t="s">
        <v>424</v>
      </c>
      <c r="BP59" s="13" t="s">
        <v>584</v>
      </c>
      <c r="BQ59" s="326" t="s">
        <v>585</v>
      </c>
      <c r="BS59" s="86" t="s">
        <v>161</v>
      </c>
      <c r="BT59" s="86" t="s">
        <v>162</v>
      </c>
      <c r="BU59" s="87" t="s">
        <v>578</v>
      </c>
      <c r="BV59" s="84"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1" t="s">
        <v>567</v>
      </c>
      <c r="EC59" s="302" t="s">
        <v>568</v>
      </c>
      <c r="ED59" s="303" t="s">
        <v>1575</v>
      </c>
      <c r="EE59" s="435">
        <v>1</v>
      </c>
      <c r="EF59" s="435">
        <v>4</v>
      </c>
      <c r="EG59" s="264"/>
      <c r="EH59" s="264"/>
      <c r="EI59" s="264"/>
      <c r="EJ59" s="264"/>
      <c r="EL59" s="828" t="s">
        <v>586</v>
      </c>
      <c r="EM59" s="312" t="s">
        <v>583</v>
      </c>
      <c r="EN59" s="268" t="s">
        <v>532</v>
      </c>
      <c r="EO59" s="380">
        <v>3630</v>
      </c>
      <c r="EP59" s="380">
        <v>3700</v>
      </c>
      <c r="EQ59" s="269">
        <v>3200</v>
      </c>
      <c r="ER59" s="269">
        <v>3300</v>
      </c>
      <c r="ES59" s="269">
        <v>3400</v>
      </c>
      <c r="ET59" s="820">
        <v>3700</v>
      </c>
    </row>
    <row r="60" spans="1:150" ht="66" customHeight="1" thickBot="1" x14ac:dyDescent="0.25">
      <c r="A60" s="271" t="s">
        <v>53</v>
      </c>
      <c r="B60" s="424" t="s">
        <v>54</v>
      </c>
      <c r="C60" s="425" t="s">
        <v>55</v>
      </c>
      <c r="D60" s="425"/>
      <c r="E60" s="8" t="s">
        <v>530</v>
      </c>
      <c r="F60" s="275" t="str">
        <f t="shared" si="4"/>
        <v>E1.P_C</v>
      </c>
      <c r="G60" s="485" t="s">
        <v>93</v>
      </c>
      <c r="H60" s="485" t="s">
        <v>187</v>
      </c>
      <c r="I60" s="277"/>
      <c r="J60" s="453" t="s">
        <v>61</v>
      </c>
      <c r="K60" s="368" t="str">
        <f t="shared" si="5"/>
        <v>E1.P_C.MR1</v>
      </c>
      <c r="L60" s="486" t="s">
        <v>162</v>
      </c>
      <c r="M60" s="486" t="s">
        <v>532</v>
      </c>
      <c r="N60" s="282">
        <v>3630</v>
      </c>
      <c r="O60" s="487">
        <v>3700</v>
      </c>
      <c r="P60" s="476" t="s">
        <v>156</v>
      </c>
      <c r="Q60" s="488" t="str">
        <f t="shared" si="6"/>
        <v>E1.P_C.MR1-MP08-1</v>
      </c>
      <c r="R60" s="416" t="s">
        <v>591</v>
      </c>
      <c r="S60" s="308" t="s">
        <v>592</v>
      </c>
      <c r="T60" s="375">
        <v>14</v>
      </c>
      <c r="U60" s="376">
        <v>18</v>
      </c>
      <c r="V60" s="375" t="s">
        <v>67</v>
      </c>
      <c r="W60" s="289">
        <v>1</v>
      </c>
      <c r="X60" s="290">
        <v>1</v>
      </c>
      <c r="Y60" s="289">
        <v>1</v>
      </c>
      <c r="Z60" s="291">
        <v>1</v>
      </c>
      <c r="AA60" s="377"/>
      <c r="AB60" s="378"/>
      <c r="AC60" s="378"/>
      <c r="AD60" s="378"/>
      <c r="AE60" s="378"/>
      <c r="AF60" s="378"/>
      <c r="AG60" s="378"/>
      <c r="AH60" s="378"/>
      <c r="AI60" s="378"/>
      <c r="AJ60" s="378"/>
      <c r="AK60" s="378"/>
      <c r="AL60" s="378"/>
      <c r="AM60" s="378"/>
      <c r="AN60" s="378"/>
      <c r="AO60" s="378"/>
      <c r="AP60" s="378"/>
      <c r="AQ60" s="378"/>
      <c r="AR60" s="378"/>
      <c r="AS60" s="378"/>
      <c r="AT60" s="378"/>
      <c r="AU60" s="378"/>
      <c r="AV60" s="378"/>
      <c r="AW60" s="378"/>
      <c r="AX60" s="378"/>
      <c r="AY60" s="378"/>
      <c r="AZ60" s="378"/>
      <c r="BA60" s="378"/>
      <c r="BB60" s="378"/>
      <c r="BC60" s="379"/>
      <c r="BD60" s="295" t="s">
        <v>535</v>
      </c>
      <c r="BN60" s="14" t="s">
        <v>434</v>
      </c>
      <c r="BO60" s="350" t="s">
        <v>435</v>
      </c>
      <c r="BP60" s="15" t="s">
        <v>593</v>
      </c>
      <c r="BQ60" s="351" t="s">
        <v>594</v>
      </c>
      <c r="BS60" s="86" t="s">
        <v>161</v>
      </c>
      <c r="BT60" s="86" t="s">
        <v>162</v>
      </c>
      <c r="BU60" s="87" t="s">
        <v>586</v>
      </c>
      <c r="BV60" s="84"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1" t="s">
        <v>576</v>
      </c>
      <c r="EC60" s="302" t="s">
        <v>577</v>
      </c>
      <c r="ED60" s="303" t="s">
        <v>1621</v>
      </c>
      <c r="EE60" s="435">
        <v>0</v>
      </c>
      <c r="EF60" s="435">
        <v>1</v>
      </c>
      <c r="EG60" s="264"/>
      <c r="EH60" s="264"/>
      <c r="EI60" s="264"/>
      <c r="EJ60" s="264"/>
      <c r="EL60" s="828" t="s">
        <v>595</v>
      </c>
      <c r="EM60" s="312" t="s">
        <v>591</v>
      </c>
      <c r="EN60" s="268" t="s">
        <v>592</v>
      </c>
      <c r="EO60" s="831">
        <v>14</v>
      </c>
      <c r="EP60" s="831">
        <v>18</v>
      </c>
      <c r="EQ60" s="803">
        <v>1</v>
      </c>
      <c r="ER60" s="803">
        <v>1</v>
      </c>
      <c r="ES60" s="803">
        <v>1</v>
      </c>
      <c r="ET60" s="830">
        <v>1</v>
      </c>
    </row>
    <row r="61" spans="1:150" ht="75.75" customHeight="1" x14ac:dyDescent="0.2">
      <c r="A61" s="271" t="s">
        <v>53</v>
      </c>
      <c r="B61" s="424" t="s">
        <v>54</v>
      </c>
      <c r="C61" s="425" t="s">
        <v>55</v>
      </c>
      <c r="D61" s="425"/>
      <c r="E61" s="8" t="s">
        <v>530</v>
      </c>
      <c r="F61" s="275" t="str">
        <f t="shared" si="4"/>
        <v>E1.P_C</v>
      </c>
      <c r="G61" s="485" t="s">
        <v>93</v>
      </c>
      <c r="H61" s="485" t="s">
        <v>187</v>
      </c>
      <c r="I61" s="277"/>
      <c r="J61" s="453" t="s">
        <v>61</v>
      </c>
      <c r="K61" s="368" t="str">
        <f t="shared" si="5"/>
        <v>E1.P_C.MR1</v>
      </c>
      <c r="L61" s="486" t="s">
        <v>162</v>
      </c>
      <c r="M61" s="486" t="s">
        <v>532</v>
      </c>
      <c r="N61" s="282">
        <v>3630</v>
      </c>
      <c r="O61" s="487">
        <v>3700</v>
      </c>
      <c r="P61" s="476" t="s">
        <v>515</v>
      </c>
      <c r="Q61" s="488" t="str">
        <f t="shared" si="6"/>
        <v>E1.P_C.MR1-MP09-1</v>
      </c>
      <c r="R61" s="416" t="s">
        <v>598</v>
      </c>
      <c r="S61" s="308" t="s">
        <v>599</v>
      </c>
      <c r="T61" s="375">
        <v>0</v>
      </c>
      <c r="U61" s="376">
        <v>3</v>
      </c>
      <c r="V61" s="375" t="s">
        <v>67</v>
      </c>
      <c r="W61" s="289">
        <v>1</v>
      </c>
      <c r="X61" s="290">
        <v>1</v>
      </c>
      <c r="Y61" s="289">
        <v>1</v>
      </c>
      <c r="Z61" s="291">
        <v>0</v>
      </c>
      <c r="AA61" s="377"/>
      <c r="AB61" s="378"/>
      <c r="AC61" s="378"/>
      <c r="AD61" s="378"/>
      <c r="AE61" s="378"/>
      <c r="AF61" s="378"/>
      <c r="AG61" s="378"/>
      <c r="AH61" s="378"/>
      <c r="AI61" s="378"/>
      <c r="AJ61" s="378"/>
      <c r="AK61" s="378"/>
      <c r="AL61" s="378"/>
      <c r="AM61" s="378"/>
      <c r="AN61" s="378"/>
      <c r="AO61" s="378"/>
      <c r="AP61" s="378"/>
      <c r="AQ61" s="378"/>
      <c r="AR61" s="378"/>
      <c r="AS61" s="378"/>
      <c r="AT61" s="378"/>
      <c r="AU61" s="378"/>
      <c r="AV61" s="378"/>
      <c r="AW61" s="378"/>
      <c r="AX61" s="378"/>
      <c r="AY61" s="378"/>
      <c r="AZ61" s="378"/>
      <c r="BA61" s="378"/>
      <c r="BB61" s="378"/>
      <c r="BC61" s="379"/>
      <c r="BD61" s="295" t="s">
        <v>535</v>
      </c>
      <c r="BS61" s="86" t="s">
        <v>161</v>
      </c>
      <c r="BT61" s="86" t="s">
        <v>162</v>
      </c>
      <c r="BU61" s="87" t="s">
        <v>595</v>
      </c>
      <c r="BV61" s="84"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1" t="s">
        <v>584</v>
      </c>
      <c r="EC61" s="302" t="s">
        <v>585</v>
      </c>
      <c r="ED61" s="303" t="s">
        <v>1631</v>
      </c>
      <c r="EE61" s="352">
        <v>1</v>
      </c>
      <c r="EF61" s="352">
        <v>1</v>
      </c>
      <c r="EG61" s="264"/>
      <c r="EH61" s="264"/>
      <c r="EI61" s="264"/>
      <c r="EJ61" s="264"/>
      <c r="EL61" s="828" t="s">
        <v>600</v>
      </c>
      <c r="EM61" s="312" t="s">
        <v>598</v>
      </c>
      <c r="EN61" s="268" t="s">
        <v>599</v>
      </c>
      <c r="EO61" s="380">
        <v>0</v>
      </c>
      <c r="EP61" s="380">
        <v>3</v>
      </c>
      <c r="EQ61" s="269">
        <v>1</v>
      </c>
      <c r="ER61" s="808">
        <v>0</v>
      </c>
      <c r="ES61" s="808">
        <v>2</v>
      </c>
      <c r="ET61" s="820">
        <v>0</v>
      </c>
    </row>
    <row r="62" spans="1:150" ht="68.25" customHeight="1" x14ac:dyDescent="0.2">
      <c r="A62" s="271" t="s">
        <v>53</v>
      </c>
      <c r="B62" s="424" t="s">
        <v>54</v>
      </c>
      <c r="C62" s="425" t="s">
        <v>55</v>
      </c>
      <c r="D62" s="425"/>
      <c r="E62" s="8" t="s">
        <v>530</v>
      </c>
      <c r="F62" s="275" t="str">
        <f t="shared" si="4"/>
        <v>E1.P_C</v>
      </c>
      <c r="G62" s="485" t="s">
        <v>93</v>
      </c>
      <c r="H62" s="485" t="s">
        <v>187</v>
      </c>
      <c r="I62" s="277"/>
      <c r="J62" s="453" t="s">
        <v>61</v>
      </c>
      <c r="K62" s="368" t="str">
        <f t="shared" si="5"/>
        <v>E1.P_C.MR1</v>
      </c>
      <c r="L62" s="486" t="s">
        <v>162</v>
      </c>
      <c r="M62" s="486" t="s">
        <v>532</v>
      </c>
      <c r="N62" s="282">
        <v>3630</v>
      </c>
      <c r="O62" s="487">
        <v>3700</v>
      </c>
      <c r="P62" s="476" t="s">
        <v>522</v>
      </c>
      <c r="Q62" s="488" t="str">
        <f t="shared" si="6"/>
        <v>E1.P_C.MR1-MP10-1</v>
      </c>
      <c r="R62" s="416" t="s">
        <v>603</v>
      </c>
      <c r="S62" s="308" t="s">
        <v>604</v>
      </c>
      <c r="T62" s="287">
        <v>6</v>
      </c>
      <c r="U62" s="288">
        <v>16</v>
      </c>
      <c r="V62" s="287" t="s">
        <v>67</v>
      </c>
      <c r="W62" s="289">
        <v>16</v>
      </c>
      <c r="X62" s="290">
        <v>16</v>
      </c>
      <c r="Y62" s="289">
        <v>16</v>
      </c>
      <c r="Z62" s="291">
        <v>16</v>
      </c>
      <c r="AA62" s="292"/>
      <c r="AB62" s="293"/>
      <c r="AC62" s="293"/>
      <c r="AD62" s="293"/>
      <c r="AE62" s="293"/>
      <c r="AF62" s="293"/>
      <c r="AG62" s="293"/>
      <c r="AH62" s="293"/>
      <c r="AI62" s="293"/>
      <c r="AJ62" s="293"/>
      <c r="AK62" s="293"/>
      <c r="AL62" s="293"/>
      <c r="AM62" s="293"/>
      <c r="AN62" s="293"/>
      <c r="AO62" s="293"/>
      <c r="AP62" s="293"/>
      <c r="AQ62" s="293"/>
      <c r="AR62" s="293"/>
      <c r="AS62" s="293"/>
      <c r="AT62" s="293"/>
      <c r="AU62" s="293"/>
      <c r="AV62" s="293"/>
      <c r="AW62" s="293"/>
      <c r="AX62" s="293"/>
      <c r="AY62" s="293"/>
      <c r="AZ62" s="293"/>
      <c r="BA62" s="293"/>
      <c r="BB62" s="293"/>
      <c r="BC62" s="294"/>
      <c r="BD62" s="295" t="s">
        <v>535</v>
      </c>
      <c r="BS62" s="86" t="s">
        <v>161</v>
      </c>
      <c r="BT62" s="86" t="s">
        <v>162</v>
      </c>
      <c r="BU62" s="87" t="s">
        <v>600</v>
      </c>
      <c r="BV62" s="84"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1" t="s">
        <v>593</v>
      </c>
      <c r="EC62" s="302" t="s">
        <v>594</v>
      </c>
      <c r="ED62" s="303" t="s">
        <v>1642</v>
      </c>
      <c r="EE62" s="435">
        <v>85957</v>
      </c>
      <c r="EF62" s="435">
        <v>97991</v>
      </c>
      <c r="EG62" s="264"/>
      <c r="EH62" s="264"/>
      <c r="EI62" s="264"/>
      <c r="EJ62" s="264"/>
      <c r="EL62" s="828" t="s">
        <v>605</v>
      </c>
      <c r="EM62" s="312" t="s">
        <v>603</v>
      </c>
      <c r="EN62" s="268" t="s">
        <v>604</v>
      </c>
      <c r="EO62" s="268">
        <v>6</v>
      </c>
      <c r="EP62" s="268">
        <v>16</v>
      </c>
      <c r="EQ62" s="269">
        <v>16</v>
      </c>
      <c r="ER62" s="269">
        <v>16</v>
      </c>
      <c r="ES62" s="269">
        <v>16</v>
      </c>
      <c r="ET62" s="820">
        <v>16</v>
      </c>
    </row>
    <row r="63" spans="1:150" ht="114" customHeight="1" x14ac:dyDescent="0.2">
      <c r="A63" s="271" t="s">
        <v>53</v>
      </c>
      <c r="B63" s="424" t="s">
        <v>54</v>
      </c>
      <c r="C63" s="425" t="s">
        <v>55</v>
      </c>
      <c r="D63" s="425"/>
      <c r="E63" s="8" t="s">
        <v>530</v>
      </c>
      <c r="F63" s="275" t="str">
        <f t="shared" si="4"/>
        <v>E1.P_C</v>
      </c>
      <c r="G63" s="485" t="s">
        <v>93</v>
      </c>
      <c r="H63" s="485" t="s">
        <v>187</v>
      </c>
      <c r="I63" s="277"/>
      <c r="J63" s="453" t="s">
        <v>61</v>
      </c>
      <c r="K63" s="368" t="str">
        <f t="shared" si="5"/>
        <v>E1.P_C.MR1</v>
      </c>
      <c r="L63" s="486" t="s">
        <v>162</v>
      </c>
      <c r="M63" s="486" t="s">
        <v>532</v>
      </c>
      <c r="N63" s="282">
        <v>3630</v>
      </c>
      <c r="O63" s="487">
        <v>3700</v>
      </c>
      <c r="P63" s="476" t="s">
        <v>610</v>
      </c>
      <c r="Q63" s="488" t="str">
        <f t="shared" si="6"/>
        <v>E1.P_C.MR1-MP11-1</v>
      </c>
      <c r="R63" s="416" t="s">
        <v>611</v>
      </c>
      <c r="S63" s="308" t="s">
        <v>612</v>
      </c>
      <c r="T63" s="287">
        <v>0</v>
      </c>
      <c r="U63" s="288">
        <v>1</v>
      </c>
      <c r="V63" s="287" t="s">
        <v>67</v>
      </c>
      <c r="W63" s="315">
        <v>0.25</v>
      </c>
      <c r="X63" s="316">
        <v>0.25</v>
      </c>
      <c r="Y63" s="315">
        <v>0.25</v>
      </c>
      <c r="Z63" s="317">
        <v>0.25</v>
      </c>
      <c r="AA63" s="292"/>
      <c r="AB63" s="293"/>
      <c r="AC63" s="293"/>
      <c r="AD63" s="293"/>
      <c r="AE63" s="293"/>
      <c r="AF63" s="293"/>
      <c r="AG63" s="293"/>
      <c r="AH63" s="293"/>
      <c r="AI63" s="293"/>
      <c r="AJ63" s="293"/>
      <c r="AK63" s="293"/>
      <c r="AL63" s="293"/>
      <c r="AM63" s="293"/>
      <c r="AN63" s="293"/>
      <c r="AO63" s="293"/>
      <c r="AP63" s="293"/>
      <c r="AQ63" s="293"/>
      <c r="AR63" s="293"/>
      <c r="AS63" s="293"/>
      <c r="AT63" s="293"/>
      <c r="AU63" s="293"/>
      <c r="AV63" s="293"/>
      <c r="AW63" s="293"/>
      <c r="AX63" s="293"/>
      <c r="AY63" s="293"/>
      <c r="AZ63" s="293"/>
      <c r="BA63" s="293"/>
      <c r="BB63" s="293"/>
      <c r="BC63" s="294"/>
      <c r="BD63" s="295" t="s">
        <v>535</v>
      </c>
      <c r="BS63" s="86" t="s">
        <v>161</v>
      </c>
      <c r="BT63" s="86" t="s">
        <v>162</v>
      </c>
      <c r="BU63" s="87" t="s">
        <v>605</v>
      </c>
      <c r="BV63" s="84" t="s">
        <v>603</v>
      </c>
      <c r="DH63" s="7" t="s">
        <v>614</v>
      </c>
      <c r="DI63" s="7" t="s">
        <v>84</v>
      </c>
      <c r="DJ63" s="7" t="s">
        <v>186</v>
      </c>
      <c r="DK63" s="7" t="s">
        <v>187</v>
      </c>
      <c r="DL63" s="7" t="s">
        <v>185</v>
      </c>
      <c r="DQ63" s="7" t="s">
        <v>605</v>
      </c>
      <c r="DR63" s="7" t="s">
        <v>603</v>
      </c>
      <c r="EL63" s="828" t="s">
        <v>613</v>
      </c>
      <c r="EM63" s="312" t="s">
        <v>611</v>
      </c>
      <c r="EN63" s="268" t="s">
        <v>612</v>
      </c>
      <c r="EO63" s="268">
        <v>0</v>
      </c>
      <c r="EP63" s="268">
        <v>1</v>
      </c>
      <c r="EQ63" s="323">
        <v>0.25</v>
      </c>
      <c r="ER63" s="323">
        <v>0.25</v>
      </c>
      <c r="ES63" s="323">
        <v>0.25</v>
      </c>
      <c r="ET63" s="819">
        <v>0.25</v>
      </c>
    </row>
    <row r="64" spans="1:150" ht="52.5" customHeight="1" x14ac:dyDescent="0.2">
      <c r="A64" s="271" t="s">
        <v>53</v>
      </c>
      <c r="B64" s="424" t="s">
        <v>54</v>
      </c>
      <c r="C64" s="425" t="s">
        <v>55</v>
      </c>
      <c r="D64" s="425"/>
      <c r="E64" s="8" t="s">
        <v>530</v>
      </c>
      <c r="F64" s="275" t="str">
        <f t="shared" si="4"/>
        <v>E1.P_C</v>
      </c>
      <c r="G64" s="485" t="s">
        <v>93</v>
      </c>
      <c r="H64" s="485" t="s">
        <v>187</v>
      </c>
      <c r="I64" s="277"/>
      <c r="J64" s="453" t="s">
        <v>61</v>
      </c>
      <c r="K64" s="368" t="str">
        <f t="shared" si="5"/>
        <v>E1.P_C.MR1</v>
      </c>
      <c r="L64" s="486" t="s">
        <v>162</v>
      </c>
      <c r="M64" s="486" t="s">
        <v>532</v>
      </c>
      <c r="N64" s="282">
        <v>3630</v>
      </c>
      <c r="O64" s="487">
        <v>3700</v>
      </c>
      <c r="P64" s="476" t="s">
        <v>615</v>
      </c>
      <c r="Q64" s="488" t="str">
        <f t="shared" si="6"/>
        <v>E1.P_C.MR1-MP12-1</v>
      </c>
      <c r="R64" s="416" t="s">
        <v>616</v>
      </c>
      <c r="S64" s="308" t="s">
        <v>617</v>
      </c>
      <c r="T64" s="313">
        <v>0.25</v>
      </c>
      <c r="U64" s="314">
        <v>0.5</v>
      </c>
      <c r="V64" s="313" t="s">
        <v>67</v>
      </c>
      <c r="W64" s="289">
        <v>0</v>
      </c>
      <c r="X64" s="290">
        <v>0</v>
      </c>
      <c r="Y64" s="315">
        <v>0.25</v>
      </c>
      <c r="Z64" s="291">
        <v>0</v>
      </c>
      <c r="AA64" s="318"/>
      <c r="AB64" s="319"/>
      <c r="AC64" s="319"/>
      <c r="AD64" s="319"/>
      <c r="AE64" s="319"/>
      <c r="AF64" s="319"/>
      <c r="AG64" s="319"/>
      <c r="AH64" s="319"/>
      <c r="AI64" s="319"/>
      <c r="AJ64" s="319"/>
      <c r="AK64" s="319"/>
      <c r="AL64" s="319"/>
      <c r="AM64" s="319"/>
      <c r="AN64" s="319"/>
      <c r="AO64" s="319"/>
      <c r="AP64" s="319"/>
      <c r="AQ64" s="319"/>
      <c r="AR64" s="319"/>
      <c r="AS64" s="319"/>
      <c r="AT64" s="319"/>
      <c r="AU64" s="319"/>
      <c r="AV64" s="319"/>
      <c r="AW64" s="319"/>
      <c r="AX64" s="319"/>
      <c r="AY64" s="319"/>
      <c r="AZ64" s="319"/>
      <c r="BA64" s="319"/>
      <c r="BB64" s="319"/>
      <c r="BC64" s="320"/>
      <c r="BD64" s="295" t="s">
        <v>535</v>
      </c>
      <c r="BS64" s="86" t="s">
        <v>161</v>
      </c>
      <c r="BT64" s="86" t="s">
        <v>162</v>
      </c>
      <c r="BU64" s="87" t="s">
        <v>613</v>
      </c>
      <c r="BV64" s="84" t="s">
        <v>611</v>
      </c>
      <c r="DH64" s="7" t="s">
        <v>619</v>
      </c>
      <c r="DI64" s="7" t="s">
        <v>84</v>
      </c>
      <c r="DJ64" s="7" t="s">
        <v>186</v>
      </c>
      <c r="DK64" s="7" t="s">
        <v>187</v>
      </c>
      <c r="DL64" s="7" t="s">
        <v>185</v>
      </c>
      <c r="DQ64" s="7" t="s">
        <v>613</v>
      </c>
      <c r="DR64" s="7" t="s">
        <v>611</v>
      </c>
      <c r="EL64" s="828" t="s">
        <v>618</v>
      </c>
      <c r="EM64" s="312" t="s">
        <v>616</v>
      </c>
      <c r="EN64" s="268" t="s">
        <v>1894</v>
      </c>
      <c r="EO64" s="803">
        <v>25</v>
      </c>
      <c r="EP64" s="803">
        <v>50</v>
      </c>
      <c r="EQ64" s="803">
        <v>0</v>
      </c>
      <c r="ER64" s="803">
        <v>0</v>
      </c>
      <c r="ES64" s="810">
        <v>0</v>
      </c>
      <c r="ET64" s="821">
        <v>25</v>
      </c>
    </row>
    <row r="65" spans="1:150" ht="55.5" customHeight="1" x14ac:dyDescent="0.2">
      <c r="A65" s="271" t="s">
        <v>53</v>
      </c>
      <c r="B65" s="424" t="s">
        <v>54</v>
      </c>
      <c r="C65" s="425" t="s">
        <v>55</v>
      </c>
      <c r="D65" s="425"/>
      <c r="E65" s="8" t="s">
        <v>530</v>
      </c>
      <c r="F65" s="275" t="str">
        <f t="shared" si="4"/>
        <v>E1.P_C</v>
      </c>
      <c r="G65" s="485" t="s">
        <v>93</v>
      </c>
      <c r="H65" s="485" t="s">
        <v>187</v>
      </c>
      <c r="I65" s="277"/>
      <c r="J65" s="453" t="s">
        <v>61</v>
      </c>
      <c r="K65" s="368" t="str">
        <f t="shared" si="5"/>
        <v>E1.P_C.MR1</v>
      </c>
      <c r="L65" s="486" t="s">
        <v>162</v>
      </c>
      <c r="M65" s="486" t="s">
        <v>532</v>
      </c>
      <c r="N65" s="282">
        <v>3630</v>
      </c>
      <c r="O65" s="487">
        <v>3700</v>
      </c>
      <c r="P65" s="476" t="s">
        <v>620</v>
      </c>
      <c r="Q65" s="488" t="str">
        <f t="shared" si="6"/>
        <v>E1.P_C.MR1-MP13-1</v>
      </c>
      <c r="R65" s="416" t="s">
        <v>621</v>
      </c>
      <c r="S65" s="308" t="s">
        <v>622</v>
      </c>
      <c r="T65" s="287">
        <v>2</v>
      </c>
      <c r="U65" s="288">
        <v>6</v>
      </c>
      <c r="V65" s="287" t="s">
        <v>67</v>
      </c>
      <c r="W65" s="289">
        <v>0</v>
      </c>
      <c r="X65" s="290">
        <v>2</v>
      </c>
      <c r="Y65" s="289">
        <v>2</v>
      </c>
      <c r="Z65" s="291">
        <v>2</v>
      </c>
      <c r="AA65" s="292"/>
      <c r="AB65" s="293"/>
      <c r="AC65" s="293"/>
      <c r="AD65" s="293"/>
      <c r="AE65" s="293"/>
      <c r="AF65" s="293"/>
      <c r="AG65" s="293"/>
      <c r="AH65" s="293"/>
      <c r="AI65" s="293"/>
      <c r="AJ65" s="293"/>
      <c r="AK65" s="293"/>
      <c r="AL65" s="293"/>
      <c r="AM65" s="293"/>
      <c r="AN65" s="293"/>
      <c r="AO65" s="293"/>
      <c r="AP65" s="293"/>
      <c r="AQ65" s="293"/>
      <c r="AR65" s="293"/>
      <c r="AS65" s="293"/>
      <c r="AT65" s="293"/>
      <c r="AU65" s="293"/>
      <c r="AV65" s="293"/>
      <c r="AW65" s="293"/>
      <c r="AX65" s="293"/>
      <c r="AY65" s="293"/>
      <c r="AZ65" s="293"/>
      <c r="BA65" s="293"/>
      <c r="BB65" s="293"/>
      <c r="BC65" s="294"/>
      <c r="BD65" s="295" t="s">
        <v>535</v>
      </c>
      <c r="BS65" s="86" t="s">
        <v>161</v>
      </c>
      <c r="BT65" s="86" t="s">
        <v>162</v>
      </c>
      <c r="BU65" s="87" t="s">
        <v>618</v>
      </c>
      <c r="BV65" s="84" t="s">
        <v>616</v>
      </c>
      <c r="DH65" s="7" t="s">
        <v>624</v>
      </c>
      <c r="DI65" s="7" t="s">
        <v>84</v>
      </c>
      <c r="DJ65" s="7" t="s">
        <v>186</v>
      </c>
      <c r="DK65" s="7" t="s">
        <v>187</v>
      </c>
      <c r="DL65" s="7" t="s">
        <v>185</v>
      </c>
      <c r="DQ65" s="7" t="s">
        <v>618</v>
      </c>
      <c r="DR65" s="7" t="s">
        <v>616</v>
      </c>
      <c r="EL65" s="828" t="s">
        <v>623</v>
      </c>
      <c r="EM65" s="312" t="s">
        <v>621</v>
      </c>
      <c r="EN65" s="268" t="s">
        <v>622</v>
      </c>
      <c r="EO65" s="268">
        <v>2</v>
      </c>
      <c r="EP65" s="268">
        <v>6</v>
      </c>
      <c r="EQ65" s="269">
        <v>0</v>
      </c>
      <c r="ER65" s="808">
        <v>0</v>
      </c>
      <c r="ES65" s="269">
        <v>2</v>
      </c>
      <c r="ET65" s="820">
        <v>2</v>
      </c>
    </row>
    <row r="66" spans="1:150" ht="48" customHeight="1" x14ac:dyDescent="0.2">
      <c r="A66" s="271" t="s">
        <v>53</v>
      </c>
      <c r="B66" s="424" t="s">
        <v>54</v>
      </c>
      <c r="C66" s="425" t="s">
        <v>55</v>
      </c>
      <c r="D66" s="425"/>
      <c r="E66" s="8" t="s">
        <v>530</v>
      </c>
      <c r="F66" s="275" t="str">
        <f t="shared" si="4"/>
        <v>E1.P_C</v>
      </c>
      <c r="G66" s="485" t="s">
        <v>93</v>
      </c>
      <c r="H66" s="485" t="s">
        <v>187</v>
      </c>
      <c r="I66" s="277"/>
      <c r="J66" s="453" t="s">
        <v>61</v>
      </c>
      <c r="K66" s="368" t="str">
        <f t="shared" si="5"/>
        <v>E1.P_C.MR1</v>
      </c>
      <c r="L66" s="486" t="s">
        <v>162</v>
      </c>
      <c r="M66" s="486" t="s">
        <v>532</v>
      </c>
      <c r="N66" s="282">
        <v>3630</v>
      </c>
      <c r="O66" s="487">
        <v>3700</v>
      </c>
      <c r="P66" s="476" t="s">
        <v>625</v>
      </c>
      <c r="Q66" s="488" t="str">
        <f t="shared" si="6"/>
        <v>E1.P_C.MR1-MP14-1</v>
      </c>
      <c r="R66" s="416" t="s">
        <v>626</v>
      </c>
      <c r="S66" s="308" t="s">
        <v>627</v>
      </c>
      <c r="T66" s="287">
        <v>1</v>
      </c>
      <c r="U66" s="288">
        <v>1</v>
      </c>
      <c r="V66" s="287" t="s">
        <v>102</v>
      </c>
      <c r="W66" s="315">
        <v>0.25</v>
      </c>
      <c r="X66" s="316">
        <v>0.25</v>
      </c>
      <c r="Y66" s="315">
        <v>0.25</v>
      </c>
      <c r="Z66" s="317">
        <v>0.25</v>
      </c>
      <c r="AA66" s="292"/>
      <c r="AB66" s="293"/>
      <c r="AC66" s="293"/>
      <c r="AD66" s="293"/>
      <c r="AE66" s="293"/>
      <c r="AF66" s="293"/>
      <c r="AG66" s="293"/>
      <c r="AH66" s="293"/>
      <c r="AI66" s="293"/>
      <c r="AJ66" s="293"/>
      <c r="AK66" s="293"/>
      <c r="AL66" s="293"/>
      <c r="AM66" s="293"/>
      <c r="AN66" s="293"/>
      <c r="AO66" s="293"/>
      <c r="AP66" s="293"/>
      <c r="AQ66" s="293"/>
      <c r="AR66" s="293"/>
      <c r="AS66" s="293"/>
      <c r="AT66" s="293"/>
      <c r="AU66" s="293"/>
      <c r="AV66" s="293"/>
      <c r="AW66" s="293"/>
      <c r="AX66" s="293"/>
      <c r="AY66" s="293"/>
      <c r="AZ66" s="293"/>
      <c r="BA66" s="293"/>
      <c r="BB66" s="293"/>
      <c r="BC66" s="294"/>
      <c r="BD66" s="295" t="s">
        <v>535</v>
      </c>
      <c r="BS66" s="86" t="s">
        <v>161</v>
      </c>
      <c r="BT66" s="86" t="s">
        <v>162</v>
      </c>
      <c r="BU66" s="87" t="s">
        <v>623</v>
      </c>
      <c r="BV66" s="84" t="s">
        <v>621</v>
      </c>
      <c r="DH66" s="7" t="s">
        <v>629</v>
      </c>
      <c r="DI66" s="7" t="s">
        <v>84</v>
      </c>
      <c r="DJ66" s="7" t="s">
        <v>186</v>
      </c>
      <c r="DK66" s="7" t="s">
        <v>187</v>
      </c>
      <c r="DL66" s="7" t="s">
        <v>185</v>
      </c>
      <c r="DQ66" s="7" t="s">
        <v>623</v>
      </c>
      <c r="DR66" s="7" t="s">
        <v>621</v>
      </c>
      <c r="EL66" s="828" t="s">
        <v>628</v>
      </c>
      <c r="EM66" s="312" t="s">
        <v>626</v>
      </c>
      <c r="EN66" s="268" t="s">
        <v>627</v>
      </c>
      <c r="EO66" s="268">
        <v>1</v>
      </c>
      <c r="EP66" s="268">
        <v>1</v>
      </c>
      <c r="EQ66" s="323">
        <v>1</v>
      </c>
      <c r="ER66" s="323">
        <v>1</v>
      </c>
      <c r="ES66" s="323">
        <v>1</v>
      </c>
      <c r="ET66" s="819">
        <v>1</v>
      </c>
    </row>
    <row r="67" spans="1:150" ht="68.25" customHeight="1" x14ac:dyDescent="0.2">
      <c r="A67" s="271" t="s">
        <v>53</v>
      </c>
      <c r="B67" s="424" t="s">
        <v>54</v>
      </c>
      <c r="C67" s="425" t="s">
        <v>55</v>
      </c>
      <c r="D67" s="425"/>
      <c r="E67" s="8" t="s">
        <v>530</v>
      </c>
      <c r="F67" s="275" t="str">
        <f t="shared" si="4"/>
        <v>E1.P_C</v>
      </c>
      <c r="G67" s="485" t="s">
        <v>93</v>
      </c>
      <c r="H67" s="485" t="s">
        <v>187</v>
      </c>
      <c r="I67" s="277"/>
      <c r="J67" s="453" t="s">
        <v>61</v>
      </c>
      <c r="K67" s="368" t="str">
        <f t="shared" si="5"/>
        <v>E1.P_C.MR1</v>
      </c>
      <c r="L67" s="486" t="s">
        <v>162</v>
      </c>
      <c r="M67" s="486" t="s">
        <v>532</v>
      </c>
      <c r="N67" s="282">
        <v>3630</v>
      </c>
      <c r="O67" s="487">
        <v>3700</v>
      </c>
      <c r="P67" s="476" t="s">
        <v>630</v>
      </c>
      <c r="Q67" s="488" t="str">
        <f t="shared" si="6"/>
        <v>E1.P_C.MR1-MP15-5</v>
      </c>
      <c r="R67" s="416" t="s">
        <v>631</v>
      </c>
      <c r="S67" s="308" t="s">
        <v>632</v>
      </c>
      <c r="T67" s="287">
        <v>1</v>
      </c>
      <c r="U67" s="288">
        <v>20</v>
      </c>
      <c r="V67" s="287" t="s">
        <v>67</v>
      </c>
      <c r="W67" s="289">
        <v>0</v>
      </c>
      <c r="X67" s="290">
        <v>10</v>
      </c>
      <c r="Y67" s="289">
        <v>10</v>
      </c>
      <c r="Z67" s="291">
        <v>0</v>
      </c>
      <c r="AA67" s="292"/>
      <c r="AB67" s="293"/>
      <c r="AC67" s="293"/>
      <c r="AD67" s="293"/>
      <c r="AE67" s="293"/>
      <c r="AF67" s="293"/>
      <c r="AG67" s="293"/>
      <c r="AH67" s="293"/>
      <c r="AI67" s="293"/>
      <c r="AJ67" s="293"/>
      <c r="AK67" s="293"/>
      <c r="AL67" s="293"/>
      <c r="AM67" s="293"/>
      <c r="AN67" s="293"/>
      <c r="AO67" s="293"/>
      <c r="AP67" s="293"/>
      <c r="AQ67" s="293"/>
      <c r="AR67" s="293"/>
      <c r="AS67" s="293"/>
      <c r="AT67" s="293"/>
      <c r="AU67" s="293"/>
      <c r="AV67" s="293"/>
      <c r="AW67" s="293"/>
      <c r="AX67" s="293"/>
      <c r="AY67" s="293"/>
      <c r="AZ67" s="293"/>
      <c r="BA67" s="293"/>
      <c r="BB67" s="293"/>
      <c r="BC67" s="294"/>
      <c r="BD67" s="295" t="s">
        <v>535</v>
      </c>
      <c r="BS67" s="86" t="s">
        <v>161</v>
      </c>
      <c r="BT67" s="86" t="s">
        <v>162</v>
      </c>
      <c r="BU67" s="87" t="s">
        <v>628</v>
      </c>
      <c r="BV67" s="84" t="s">
        <v>626</v>
      </c>
      <c r="DH67" s="7" t="s">
        <v>634</v>
      </c>
      <c r="DI67" s="7" t="s">
        <v>84</v>
      </c>
      <c r="DJ67" s="7" t="s">
        <v>186</v>
      </c>
      <c r="DK67" s="7" t="s">
        <v>187</v>
      </c>
      <c r="DL67" s="7" t="s">
        <v>185</v>
      </c>
      <c r="DQ67" s="7" t="s">
        <v>628</v>
      </c>
      <c r="DR67" s="7" t="s">
        <v>626</v>
      </c>
      <c r="EL67" s="828" t="s">
        <v>633</v>
      </c>
      <c r="EM67" s="312" t="s">
        <v>631</v>
      </c>
      <c r="EN67" s="268" t="s">
        <v>632</v>
      </c>
      <c r="EO67" s="268">
        <v>1</v>
      </c>
      <c r="EP67" s="268">
        <v>20</v>
      </c>
      <c r="EQ67" s="269">
        <v>0</v>
      </c>
      <c r="ER67" s="808">
        <v>3</v>
      </c>
      <c r="ES67" s="808">
        <v>8</v>
      </c>
      <c r="ET67" s="824">
        <v>8</v>
      </c>
    </row>
    <row r="68" spans="1:150" ht="33.75" customHeight="1" thickBot="1" x14ac:dyDescent="0.25">
      <c r="A68" s="271" t="s">
        <v>53</v>
      </c>
      <c r="B68" s="424" t="s">
        <v>54</v>
      </c>
      <c r="C68" s="425" t="s">
        <v>55</v>
      </c>
      <c r="D68" s="425"/>
      <c r="E68" s="8" t="s">
        <v>530</v>
      </c>
      <c r="F68" s="275" t="str">
        <f t="shared" si="4"/>
        <v>E1.P_C</v>
      </c>
      <c r="G68" s="490" t="s">
        <v>93</v>
      </c>
      <c r="H68" s="490" t="s">
        <v>187</v>
      </c>
      <c r="I68" s="491"/>
      <c r="J68" s="459" t="s">
        <v>61</v>
      </c>
      <c r="K68" s="460" t="str">
        <f t="shared" si="5"/>
        <v>E1.P_C.MR1</v>
      </c>
      <c r="L68" s="492" t="s">
        <v>162</v>
      </c>
      <c r="M68" s="492" t="s">
        <v>532</v>
      </c>
      <c r="N68" s="422">
        <v>3630</v>
      </c>
      <c r="O68" s="493">
        <v>3700</v>
      </c>
      <c r="P68" s="476" t="s">
        <v>635</v>
      </c>
      <c r="Q68" s="494" t="str">
        <f t="shared" si="6"/>
        <v>E1.P_C.MR1-MP16-1</v>
      </c>
      <c r="R68" s="423" t="s">
        <v>636</v>
      </c>
      <c r="S68" s="344" t="s">
        <v>637</v>
      </c>
      <c r="T68" s="332">
        <v>0</v>
      </c>
      <c r="U68" s="495">
        <v>0.4</v>
      </c>
      <c r="V68" s="496" t="s">
        <v>67</v>
      </c>
      <c r="W68" s="497">
        <v>0</v>
      </c>
      <c r="X68" s="498">
        <v>0.15</v>
      </c>
      <c r="Y68" s="499">
        <v>0.15</v>
      </c>
      <c r="Z68" s="500">
        <v>0.1</v>
      </c>
      <c r="AA68" s="318"/>
      <c r="AB68" s="319"/>
      <c r="AC68" s="319"/>
      <c r="AD68" s="319"/>
      <c r="AE68" s="319"/>
      <c r="AF68" s="319"/>
      <c r="AG68" s="319"/>
      <c r="AH68" s="319"/>
      <c r="AI68" s="319"/>
      <c r="AJ68" s="319"/>
      <c r="AK68" s="319"/>
      <c r="AL68" s="319"/>
      <c r="AM68" s="319"/>
      <c r="AN68" s="319"/>
      <c r="AO68" s="319"/>
      <c r="AP68" s="319"/>
      <c r="AQ68" s="319"/>
      <c r="AR68" s="319"/>
      <c r="AS68" s="319"/>
      <c r="AT68" s="319"/>
      <c r="AU68" s="319"/>
      <c r="AV68" s="319"/>
      <c r="AW68" s="319"/>
      <c r="AX68" s="319"/>
      <c r="AY68" s="319"/>
      <c r="AZ68" s="319"/>
      <c r="BA68" s="319"/>
      <c r="BB68" s="319"/>
      <c r="BC68" s="320"/>
      <c r="BD68" s="295" t="s">
        <v>535</v>
      </c>
      <c r="BS68" s="86" t="s">
        <v>161</v>
      </c>
      <c r="BT68" s="86" t="s">
        <v>162</v>
      </c>
      <c r="BU68" s="87" t="s">
        <v>633</v>
      </c>
      <c r="BV68" s="84" t="s">
        <v>631</v>
      </c>
      <c r="DH68" s="7" t="s">
        <v>639</v>
      </c>
      <c r="DI68" s="7" t="s">
        <v>84</v>
      </c>
      <c r="DJ68" s="7" t="s">
        <v>186</v>
      </c>
      <c r="DK68" s="7" t="s">
        <v>187</v>
      </c>
      <c r="DL68" s="7" t="s">
        <v>185</v>
      </c>
      <c r="DQ68" s="7" t="s">
        <v>633</v>
      </c>
      <c r="DR68" s="7" t="s">
        <v>631</v>
      </c>
      <c r="EL68" s="828" t="s">
        <v>638</v>
      </c>
      <c r="EM68" s="312" t="s">
        <v>636</v>
      </c>
      <c r="EN68" s="268" t="s">
        <v>637</v>
      </c>
      <c r="EO68" s="268">
        <v>0</v>
      </c>
      <c r="EP68" s="269">
        <v>40</v>
      </c>
      <c r="EQ68" s="269">
        <v>0</v>
      </c>
      <c r="ER68" s="810">
        <v>0</v>
      </c>
      <c r="ES68" s="323">
        <v>15</v>
      </c>
      <c r="ET68" s="818">
        <v>25</v>
      </c>
    </row>
    <row r="69" spans="1:150" ht="105" customHeight="1" x14ac:dyDescent="0.2">
      <c r="A69" s="271" t="s">
        <v>53</v>
      </c>
      <c r="B69" s="446" t="s">
        <v>54</v>
      </c>
      <c r="C69" s="447" t="s">
        <v>55</v>
      </c>
      <c r="D69" s="426" t="s">
        <v>640</v>
      </c>
      <c r="E69" s="3" t="s">
        <v>641</v>
      </c>
      <c r="F69" s="427" t="str">
        <f t="shared" si="4"/>
        <v>E1.P_D</v>
      </c>
      <c r="G69" s="428" t="s">
        <v>106</v>
      </c>
      <c r="H69" s="429" t="s">
        <v>198</v>
      </c>
      <c r="I69" s="399" t="s">
        <v>642</v>
      </c>
      <c r="J69" s="430" t="s">
        <v>61</v>
      </c>
      <c r="K69" s="393" t="str">
        <f t="shared" si="5"/>
        <v>E1.P_D.MR1</v>
      </c>
      <c r="L69" s="355" t="s">
        <v>174</v>
      </c>
      <c r="M69" s="356" t="s">
        <v>532</v>
      </c>
      <c r="N69" s="241">
        <v>1400</v>
      </c>
      <c r="O69" s="475">
        <v>1800</v>
      </c>
      <c r="P69" s="476" t="s">
        <v>64</v>
      </c>
      <c r="Q69" s="477" t="str">
        <f t="shared" si="6"/>
        <v>E1.P_D.MR1-MP01-1</v>
      </c>
      <c r="R69" s="501" t="s">
        <v>643</v>
      </c>
      <c r="S69" s="502" t="s">
        <v>644</v>
      </c>
      <c r="T69" s="503">
        <v>15</v>
      </c>
      <c r="U69" s="504">
        <v>19</v>
      </c>
      <c r="V69" s="503" t="s">
        <v>67</v>
      </c>
      <c r="W69" s="249">
        <v>17</v>
      </c>
      <c r="X69" s="365">
        <v>18</v>
      </c>
      <c r="Y69" s="249">
        <v>19</v>
      </c>
      <c r="Z69" s="366">
        <v>19</v>
      </c>
      <c r="AA69" s="432">
        <f>300000000+387450000+35000000+10000000+65000000+81000000+43000000+140000000+154000000+33707321+48400000+10000000+60708567+35000000+50000000+34000000+134100000+461291433-1365053637</f>
        <v>717603684</v>
      </c>
      <c r="AB69" s="433">
        <f>50000000+96292679+1000000000</f>
        <v>1146292679</v>
      </c>
      <c r="AC69" s="433">
        <v>100000000</v>
      </c>
      <c r="AD69" s="433"/>
      <c r="AE69" s="433"/>
      <c r="AF69" s="433">
        <f>1071402+103032235</f>
        <v>104103637</v>
      </c>
      <c r="AG69" s="433">
        <f>SUM(AA69:AF69)</f>
        <v>2068000000</v>
      </c>
      <c r="AH69" s="433">
        <f t="shared" ref="AH69:AT69" si="21">+AA69</f>
        <v>717603684</v>
      </c>
      <c r="AI69" s="433">
        <f t="shared" si="21"/>
        <v>1146292679</v>
      </c>
      <c r="AJ69" s="433">
        <f t="shared" si="21"/>
        <v>100000000</v>
      </c>
      <c r="AK69" s="433">
        <f t="shared" si="21"/>
        <v>0</v>
      </c>
      <c r="AL69" s="433">
        <f t="shared" si="21"/>
        <v>0</v>
      </c>
      <c r="AM69" s="433">
        <f t="shared" si="21"/>
        <v>104103637</v>
      </c>
      <c r="AN69" s="433">
        <f t="shared" si="21"/>
        <v>2068000000</v>
      </c>
      <c r="AO69" s="433">
        <f t="shared" si="21"/>
        <v>717603684</v>
      </c>
      <c r="AP69" s="433">
        <f t="shared" si="21"/>
        <v>1146292679</v>
      </c>
      <c r="AQ69" s="433">
        <f t="shared" si="21"/>
        <v>100000000</v>
      </c>
      <c r="AR69" s="433">
        <f t="shared" si="21"/>
        <v>0</v>
      </c>
      <c r="AS69" s="433">
        <f t="shared" si="21"/>
        <v>0</v>
      </c>
      <c r="AT69" s="433">
        <f t="shared" si="21"/>
        <v>104103637</v>
      </c>
      <c r="AU69" s="433">
        <f t="shared" ref="AU69" si="22">SUM(AO69:AT69)</f>
        <v>2068000000</v>
      </c>
      <c r="AV69" s="433">
        <f>+AO69</f>
        <v>717603684</v>
      </c>
      <c r="AW69" s="433">
        <f t="shared" ref="AW69:BA69" si="23">+AP69</f>
        <v>1146292679</v>
      </c>
      <c r="AX69" s="433">
        <f t="shared" si="23"/>
        <v>100000000</v>
      </c>
      <c r="AY69" s="433">
        <f t="shared" si="23"/>
        <v>0</v>
      </c>
      <c r="AZ69" s="433">
        <f t="shared" si="23"/>
        <v>0</v>
      </c>
      <c r="BA69" s="433">
        <f t="shared" si="23"/>
        <v>104103637</v>
      </c>
      <c r="BB69" s="433">
        <f t="shared" ref="BB69" si="24">SUM(AV69:BA69)</f>
        <v>2068000000</v>
      </c>
      <c r="BC69" s="434">
        <f t="shared" ref="BC69" si="25">+BB69+AU69+AN69+AG69</f>
        <v>8272000000</v>
      </c>
      <c r="BD69" s="295" t="s">
        <v>645</v>
      </c>
      <c r="BS69" s="86" t="s">
        <v>161</v>
      </c>
      <c r="BT69" s="86" t="s">
        <v>162</v>
      </c>
      <c r="BU69" s="87" t="s">
        <v>638</v>
      </c>
      <c r="BV69" s="84" t="s">
        <v>636</v>
      </c>
      <c r="DH69" s="7" t="s">
        <v>647</v>
      </c>
      <c r="DI69" s="7" t="s">
        <v>84</v>
      </c>
      <c r="DJ69" s="7" t="s">
        <v>186</v>
      </c>
      <c r="DK69" s="7" t="s">
        <v>187</v>
      </c>
      <c r="DL69" s="7" t="s">
        <v>185</v>
      </c>
      <c r="DQ69" s="7" t="s">
        <v>638</v>
      </c>
      <c r="DR69" s="7" t="s">
        <v>636</v>
      </c>
      <c r="EL69" s="828" t="s">
        <v>646</v>
      </c>
      <c r="EM69" s="312" t="s">
        <v>643</v>
      </c>
      <c r="EN69" s="268" t="s">
        <v>644</v>
      </c>
      <c r="EO69" s="380">
        <v>15</v>
      </c>
      <c r="EP69" s="380">
        <v>19</v>
      </c>
      <c r="EQ69" s="269">
        <v>17</v>
      </c>
      <c r="ER69" s="269">
        <v>18</v>
      </c>
      <c r="ES69" s="269">
        <v>19</v>
      </c>
      <c r="ET69" s="820">
        <v>19</v>
      </c>
    </row>
    <row r="70" spans="1:150" ht="56.25" customHeight="1" x14ac:dyDescent="0.2">
      <c r="A70" s="271" t="s">
        <v>53</v>
      </c>
      <c r="B70" s="424" t="s">
        <v>54</v>
      </c>
      <c r="C70" s="425" t="s">
        <v>55</v>
      </c>
      <c r="D70" s="425"/>
      <c r="E70" s="8" t="s">
        <v>641</v>
      </c>
      <c r="F70" s="275" t="str">
        <f t="shared" si="4"/>
        <v>E1.P_D</v>
      </c>
      <c r="G70" s="505" t="s">
        <v>106</v>
      </c>
      <c r="H70" s="506" t="s">
        <v>198</v>
      </c>
      <c r="I70" s="438"/>
      <c r="J70" s="278" t="s">
        <v>61</v>
      </c>
      <c r="K70" s="279" t="str">
        <f t="shared" si="5"/>
        <v>E1.P_D.MR1</v>
      </c>
      <c r="L70" s="507" t="s">
        <v>174</v>
      </c>
      <c r="M70" s="508" t="s">
        <v>532</v>
      </c>
      <c r="N70" s="282">
        <v>1400</v>
      </c>
      <c r="O70" s="487">
        <v>1800</v>
      </c>
      <c r="P70" s="476" t="s">
        <v>87</v>
      </c>
      <c r="Q70" s="488" t="str">
        <f t="shared" si="6"/>
        <v>E1.P_D.MR1-MP02-1</v>
      </c>
      <c r="R70" s="416" t="s">
        <v>648</v>
      </c>
      <c r="S70" s="308" t="s">
        <v>649</v>
      </c>
      <c r="T70" s="287">
        <v>4</v>
      </c>
      <c r="U70" s="288">
        <v>8</v>
      </c>
      <c r="V70" s="287" t="s">
        <v>67</v>
      </c>
      <c r="W70" s="289">
        <v>6</v>
      </c>
      <c r="X70" s="290">
        <v>8</v>
      </c>
      <c r="Y70" s="289">
        <v>8</v>
      </c>
      <c r="Z70" s="291">
        <v>8</v>
      </c>
      <c r="AA70" s="292"/>
      <c r="AB70" s="293"/>
      <c r="AC70" s="293"/>
      <c r="AD70" s="293"/>
      <c r="AE70" s="293"/>
      <c r="AF70" s="293"/>
      <c r="AG70" s="293"/>
      <c r="AH70" s="293"/>
      <c r="AI70" s="293"/>
      <c r="AJ70" s="293"/>
      <c r="AK70" s="293"/>
      <c r="AL70" s="293"/>
      <c r="AM70" s="293"/>
      <c r="AN70" s="293"/>
      <c r="AO70" s="293"/>
      <c r="AP70" s="293"/>
      <c r="AQ70" s="293"/>
      <c r="AR70" s="293"/>
      <c r="AS70" s="293"/>
      <c r="AT70" s="293"/>
      <c r="AU70" s="293"/>
      <c r="AV70" s="293"/>
      <c r="AW70" s="293"/>
      <c r="AX70" s="293"/>
      <c r="AY70" s="293"/>
      <c r="AZ70" s="293"/>
      <c r="BA70" s="293"/>
      <c r="BB70" s="293"/>
      <c r="BC70" s="294"/>
      <c r="BD70" s="295" t="s">
        <v>645</v>
      </c>
      <c r="BS70" s="84" t="s">
        <v>173</v>
      </c>
      <c r="BT70" s="84" t="s">
        <v>174</v>
      </c>
      <c r="BU70" s="87" t="s">
        <v>646</v>
      </c>
      <c r="BV70" s="84" t="s">
        <v>643</v>
      </c>
      <c r="DH70" s="7" t="s">
        <v>651</v>
      </c>
      <c r="DI70" s="7" t="s">
        <v>84</v>
      </c>
      <c r="DJ70" s="7" t="s">
        <v>197</v>
      </c>
      <c r="DK70" s="7" t="s">
        <v>198</v>
      </c>
      <c r="DL70" s="7" t="s">
        <v>196</v>
      </c>
      <c r="DQ70" s="7" t="s">
        <v>646</v>
      </c>
      <c r="DR70" s="7" t="s">
        <v>643</v>
      </c>
      <c r="EL70" s="828" t="s">
        <v>650</v>
      </c>
      <c r="EM70" s="312" t="s">
        <v>648</v>
      </c>
      <c r="EN70" s="268" t="s">
        <v>649</v>
      </c>
      <c r="EO70" s="268">
        <v>4</v>
      </c>
      <c r="EP70" s="268">
        <v>8</v>
      </c>
      <c r="EQ70" s="269">
        <v>6</v>
      </c>
      <c r="ER70" s="269">
        <v>8</v>
      </c>
      <c r="ES70" s="269">
        <v>8</v>
      </c>
      <c r="ET70" s="820">
        <v>8</v>
      </c>
    </row>
    <row r="71" spans="1:150" ht="50.25" customHeight="1" x14ac:dyDescent="0.2">
      <c r="A71" s="271" t="s">
        <v>53</v>
      </c>
      <c r="B71" s="424" t="s">
        <v>54</v>
      </c>
      <c r="C71" s="425" t="s">
        <v>55</v>
      </c>
      <c r="D71" s="425"/>
      <c r="E71" s="8" t="s">
        <v>641</v>
      </c>
      <c r="F71" s="275" t="str">
        <f t="shared" si="4"/>
        <v>E1.P_D</v>
      </c>
      <c r="G71" s="505" t="s">
        <v>106</v>
      </c>
      <c r="H71" s="506" t="s">
        <v>198</v>
      </c>
      <c r="I71" s="438"/>
      <c r="J71" s="278" t="s">
        <v>61</v>
      </c>
      <c r="K71" s="279" t="str">
        <f t="shared" si="5"/>
        <v>E1.P_D.MR1</v>
      </c>
      <c r="L71" s="507" t="s">
        <v>174</v>
      </c>
      <c r="M71" s="508" t="s">
        <v>532</v>
      </c>
      <c r="N71" s="282">
        <v>1400</v>
      </c>
      <c r="O71" s="487">
        <v>1800</v>
      </c>
      <c r="P71" s="476" t="s">
        <v>99</v>
      </c>
      <c r="Q71" s="488" t="str">
        <f t="shared" si="6"/>
        <v>E1.P_D.MR1-MP03-1</v>
      </c>
      <c r="R71" s="416" t="s">
        <v>652</v>
      </c>
      <c r="S71" s="308" t="s">
        <v>653</v>
      </c>
      <c r="T71" s="287">
        <v>0</v>
      </c>
      <c r="U71" s="288">
        <v>1</v>
      </c>
      <c r="V71" s="287" t="s">
        <v>67</v>
      </c>
      <c r="W71" s="315">
        <v>0.25</v>
      </c>
      <c r="X71" s="316">
        <v>0.25</v>
      </c>
      <c r="Y71" s="315">
        <v>0.25</v>
      </c>
      <c r="Z71" s="317">
        <v>0.25</v>
      </c>
      <c r="AA71" s="292"/>
      <c r="AB71" s="293"/>
      <c r="AC71" s="293"/>
      <c r="AD71" s="293"/>
      <c r="AE71" s="293"/>
      <c r="AF71" s="293"/>
      <c r="AG71" s="293"/>
      <c r="AH71" s="293"/>
      <c r="AI71" s="293"/>
      <c r="AJ71" s="293"/>
      <c r="AK71" s="293"/>
      <c r="AL71" s="293"/>
      <c r="AM71" s="293"/>
      <c r="AN71" s="293"/>
      <c r="AO71" s="293"/>
      <c r="AP71" s="293"/>
      <c r="AQ71" s="293"/>
      <c r="AR71" s="293"/>
      <c r="AS71" s="293"/>
      <c r="AT71" s="293"/>
      <c r="AU71" s="293"/>
      <c r="AV71" s="293"/>
      <c r="AW71" s="293"/>
      <c r="AX71" s="293"/>
      <c r="AY71" s="293"/>
      <c r="AZ71" s="293"/>
      <c r="BA71" s="293"/>
      <c r="BB71" s="293"/>
      <c r="BC71" s="294"/>
      <c r="BD71" s="295" t="s">
        <v>645</v>
      </c>
      <c r="BS71" s="86" t="s">
        <v>173</v>
      </c>
      <c r="BT71" s="86" t="s">
        <v>174</v>
      </c>
      <c r="BU71" s="87" t="s">
        <v>650</v>
      </c>
      <c r="BV71" s="84" t="s">
        <v>648</v>
      </c>
      <c r="DH71" s="7" t="s">
        <v>655</v>
      </c>
      <c r="DI71" s="7" t="s">
        <v>84</v>
      </c>
      <c r="DJ71" s="7" t="s">
        <v>197</v>
      </c>
      <c r="DK71" s="7" t="s">
        <v>198</v>
      </c>
      <c r="DL71" s="7" t="s">
        <v>196</v>
      </c>
      <c r="DQ71" s="7" t="s">
        <v>650</v>
      </c>
      <c r="DR71" s="7" t="s">
        <v>648</v>
      </c>
      <c r="EL71" s="828" t="s">
        <v>654</v>
      </c>
      <c r="EM71" s="312" t="s">
        <v>652</v>
      </c>
      <c r="EN71" s="268" t="s">
        <v>653</v>
      </c>
      <c r="EO71" s="268">
        <v>0</v>
      </c>
      <c r="EP71" s="268">
        <v>1</v>
      </c>
      <c r="EQ71" s="323">
        <v>0.25</v>
      </c>
      <c r="ER71" s="323">
        <v>0.25</v>
      </c>
      <c r="ES71" s="323">
        <v>0.25</v>
      </c>
      <c r="ET71" s="819">
        <v>0.25</v>
      </c>
    </row>
    <row r="72" spans="1:150" ht="72.75" customHeight="1" x14ac:dyDescent="0.2">
      <c r="A72" s="271" t="s">
        <v>53</v>
      </c>
      <c r="B72" s="424" t="s">
        <v>54</v>
      </c>
      <c r="C72" s="425" t="s">
        <v>55</v>
      </c>
      <c r="D72" s="425"/>
      <c r="E72" s="8" t="s">
        <v>641</v>
      </c>
      <c r="F72" s="275" t="str">
        <f t="shared" si="4"/>
        <v>E1.P_D</v>
      </c>
      <c r="G72" s="505" t="s">
        <v>106</v>
      </c>
      <c r="H72" s="506" t="s">
        <v>198</v>
      </c>
      <c r="I72" s="438"/>
      <c r="J72" s="278" t="s">
        <v>61</v>
      </c>
      <c r="K72" s="279" t="str">
        <f t="shared" si="5"/>
        <v>E1.P_D.MR1</v>
      </c>
      <c r="L72" s="507" t="s">
        <v>174</v>
      </c>
      <c r="M72" s="508" t="s">
        <v>532</v>
      </c>
      <c r="N72" s="282">
        <v>1400</v>
      </c>
      <c r="O72" s="487">
        <v>1800</v>
      </c>
      <c r="P72" s="476" t="s">
        <v>112</v>
      </c>
      <c r="Q72" s="488" t="str">
        <f t="shared" si="6"/>
        <v>E1.P_D.MR1-MP04-1</v>
      </c>
      <c r="R72" s="416" t="s">
        <v>656</v>
      </c>
      <c r="S72" s="308" t="s">
        <v>657</v>
      </c>
      <c r="T72" s="287">
        <v>2</v>
      </c>
      <c r="U72" s="288">
        <v>4</v>
      </c>
      <c r="V72" s="287" t="s">
        <v>67</v>
      </c>
      <c r="W72" s="289">
        <v>1</v>
      </c>
      <c r="X72" s="290">
        <v>1</v>
      </c>
      <c r="Y72" s="289">
        <v>1</v>
      </c>
      <c r="Z72" s="291">
        <v>1</v>
      </c>
      <c r="AA72" s="292"/>
      <c r="AB72" s="293"/>
      <c r="AC72" s="293"/>
      <c r="AD72" s="293"/>
      <c r="AE72" s="293"/>
      <c r="AF72" s="293"/>
      <c r="AG72" s="293"/>
      <c r="AH72" s="293"/>
      <c r="AI72" s="293"/>
      <c r="AJ72" s="293"/>
      <c r="AK72" s="293"/>
      <c r="AL72" s="293"/>
      <c r="AM72" s="293"/>
      <c r="AN72" s="293"/>
      <c r="AO72" s="293"/>
      <c r="AP72" s="293"/>
      <c r="AQ72" s="293"/>
      <c r="AR72" s="293"/>
      <c r="AS72" s="293"/>
      <c r="AT72" s="293"/>
      <c r="AU72" s="293"/>
      <c r="AV72" s="293"/>
      <c r="AW72" s="293"/>
      <c r="AX72" s="293"/>
      <c r="AY72" s="293"/>
      <c r="AZ72" s="293"/>
      <c r="BA72" s="293"/>
      <c r="BB72" s="293"/>
      <c r="BC72" s="294"/>
      <c r="BD72" s="295" t="s">
        <v>645</v>
      </c>
      <c r="BS72" s="86" t="s">
        <v>173</v>
      </c>
      <c r="BT72" s="86" t="s">
        <v>174</v>
      </c>
      <c r="BU72" s="87" t="s">
        <v>654</v>
      </c>
      <c r="BV72" s="84" t="s">
        <v>652</v>
      </c>
      <c r="DH72" s="7" t="s">
        <v>659</v>
      </c>
      <c r="DI72" s="7" t="s">
        <v>84</v>
      </c>
      <c r="DJ72" s="7" t="s">
        <v>197</v>
      </c>
      <c r="DK72" s="7" t="s">
        <v>198</v>
      </c>
      <c r="DL72" s="7" t="s">
        <v>196</v>
      </c>
      <c r="DQ72" s="7" t="s">
        <v>654</v>
      </c>
      <c r="DR72" s="7" t="s">
        <v>652</v>
      </c>
      <c r="EL72" s="828" t="s">
        <v>658</v>
      </c>
      <c r="EM72" s="312" t="s">
        <v>656</v>
      </c>
      <c r="EN72" s="268" t="s">
        <v>657</v>
      </c>
      <c r="EO72" s="268">
        <v>2</v>
      </c>
      <c r="EP72" s="268">
        <v>4</v>
      </c>
      <c r="EQ72" s="269">
        <v>1</v>
      </c>
      <c r="ER72" s="269">
        <v>1</v>
      </c>
      <c r="ES72" s="269">
        <v>1</v>
      </c>
      <c r="ET72" s="820">
        <v>1</v>
      </c>
    </row>
    <row r="73" spans="1:150" ht="51" customHeight="1" x14ac:dyDescent="0.2">
      <c r="A73" s="271" t="s">
        <v>53</v>
      </c>
      <c r="B73" s="424" t="s">
        <v>54</v>
      </c>
      <c r="C73" s="425" t="s">
        <v>55</v>
      </c>
      <c r="D73" s="425"/>
      <c r="E73" s="8" t="s">
        <v>641</v>
      </c>
      <c r="F73" s="275" t="str">
        <f t="shared" si="4"/>
        <v>E1.P_D</v>
      </c>
      <c r="G73" s="505" t="s">
        <v>106</v>
      </c>
      <c r="H73" s="506" t="s">
        <v>198</v>
      </c>
      <c r="I73" s="438"/>
      <c r="J73" s="278" t="s">
        <v>61</v>
      </c>
      <c r="K73" s="279" t="str">
        <f t="shared" si="5"/>
        <v>E1.P_D.MR1</v>
      </c>
      <c r="L73" s="507" t="s">
        <v>174</v>
      </c>
      <c r="M73" s="508" t="s">
        <v>532</v>
      </c>
      <c r="N73" s="282">
        <v>1400</v>
      </c>
      <c r="O73" s="487">
        <v>1800</v>
      </c>
      <c r="P73" s="476" t="s">
        <v>122</v>
      </c>
      <c r="Q73" s="488" t="str">
        <f t="shared" si="6"/>
        <v>E1.P_D.MR1-MP05-1</v>
      </c>
      <c r="R73" s="416" t="s">
        <v>660</v>
      </c>
      <c r="S73" s="308" t="s">
        <v>532</v>
      </c>
      <c r="T73" s="287">
        <v>1</v>
      </c>
      <c r="U73" s="288">
        <v>2</v>
      </c>
      <c r="V73" s="287" t="s">
        <v>67</v>
      </c>
      <c r="W73" s="309">
        <v>0.5</v>
      </c>
      <c r="X73" s="324">
        <v>0.5</v>
      </c>
      <c r="Y73" s="309">
        <v>0.5</v>
      </c>
      <c r="Z73" s="310">
        <v>0.5</v>
      </c>
      <c r="AA73" s="292"/>
      <c r="AB73" s="293"/>
      <c r="AC73" s="293"/>
      <c r="AD73" s="293"/>
      <c r="AE73" s="293"/>
      <c r="AF73" s="293"/>
      <c r="AG73" s="293"/>
      <c r="AH73" s="293"/>
      <c r="AI73" s="293"/>
      <c r="AJ73" s="293"/>
      <c r="AK73" s="293"/>
      <c r="AL73" s="293"/>
      <c r="AM73" s="293"/>
      <c r="AN73" s="293"/>
      <c r="AO73" s="293"/>
      <c r="AP73" s="293"/>
      <c r="AQ73" s="293"/>
      <c r="AR73" s="293"/>
      <c r="AS73" s="293"/>
      <c r="AT73" s="293"/>
      <c r="AU73" s="293"/>
      <c r="AV73" s="293"/>
      <c r="AW73" s="293"/>
      <c r="AX73" s="293"/>
      <c r="AY73" s="293"/>
      <c r="AZ73" s="293"/>
      <c r="BA73" s="293"/>
      <c r="BB73" s="293"/>
      <c r="BC73" s="294"/>
      <c r="BD73" s="295" t="s">
        <v>645</v>
      </c>
      <c r="BS73" s="86" t="s">
        <v>173</v>
      </c>
      <c r="BT73" s="86" t="s">
        <v>174</v>
      </c>
      <c r="BU73" s="87" t="s">
        <v>658</v>
      </c>
      <c r="BV73" s="84" t="s">
        <v>656</v>
      </c>
      <c r="DH73" s="7" t="s">
        <v>662</v>
      </c>
      <c r="DI73" s="7" t="s">
        <v>84</v>
      </c>
      <c r="DJ73" s="7" t="s">
        <v>197</v>
      </c>
      <c r="DK73" s="7" t="s">
        <v>198</v>
      </c>
      <c r="DL73" s="7" t="s">
        <v>196</v>
      </c>
      <c r="DQ73" s="7" t="s">
        <v>658</v>
      </c>
      <c r="DR73" s="7" t="s">
        <v>656</v>
      </c>
      <c r="EL73" s="828" t="s">
        <v>661</v>
      </c>
      <c r="EM73" s="312" t="s">
        <v>660</v>
      </c>
      <c r="EN73" s="268" t="s">
        <v>532</v>
      </c>
      <c r="EO73" s="268">
        <v>1</v>
      </c>
      <c r="EP73" s="268">
        <v>2</v>
      </c>
      <c r="EQ73" s="270">
        <v>0.5</v>
      </c>
      <c r="ER73" s="809">
        <v>0</v>
      </c>
      <c r="ES73" s="810">
        <v>0.25</v>
      </c>
      <c r="ET73" s="821">
        <v>0.25</v>
      </c>
    </row>
    <row r="74" spans="1:150" ht="49.5" customHeight="1" x14ac:dyDescent="0.2">
      <c r="A74" s="271" t="s">
        <v>53</v>
      </c>
      <c r="B74" s="424" t="s">
        <v>54</v>
      </c>
      <c r="C74" s="425" t="s">
        <v>55</v>
      </c>
      <c r="D74" s="425"/>
      <c r="E74" s="8" t="s">
        <v>641</v>
      </c>
      <c r="F74" s="275" t="str">
        <f t="shared" ref="F74:F137" si="26">+CONCATENATE(A74,E74)</f>
        <v>E1.P_D</v>
      </c>
      <c r="G74" s="505" t="s">
        <v>106</v>
      </c>
      <c r="H74" s="506" t="s">
        <v>198</v>
      </c>
      <c r="I74" s="438"/>
      <c r="J74" s="278" t="s">
        <v>61</v>
      </c>
      <c r="K74" s="279" t="str">
        <f t="shared" ref="K74:K137" si="27">+CONCATENATE(F74,".",J74)</f>
        <v>E1.P_D.MR1</v>
      </c>
      <c r="L74" s="507" t="s">
        <v>174</v>
      </c>
      <c r="M74" s="508" t="s">
        <v>532</v>
      </c>
      <c r="N74" s="282">
        <v>1400</v>
      </c>
      <c r="O74" s="487">
        <v>1800</v>
      </c>
      <c r="P74" s="476" t="s">
        <v>132</v>
      </c>
      <c r="Q74" s="488" t="str">
        <f t="shared" ref="Q74:Q137" si="28">+CONCATENATE(K74,"-",P74)</f>
        <v>E1.P_D.MR1-MP06-1</v>
      </c>
      <c r="R74" s="416" t="s">
        <v>663</v>
      </c>
      <c r="S74" s="308" t="s">
        <v>664</v>
      </c>
      <c r="T74" s="287">
        <v>1</v>
      </c>
      <c r="U74" s="288">
        <v>5</v>
      </c>
      <c r="V74" s="287" t="s">
        <v>67</v>
      </c>
      <c r="W74" s="289">
        <v>2</v>
      </c>
      <c r="X74" s="290">
        <v>5</v>
      </c>
      <c r="Y74" s="289">
        <v>5</v>
      </c>
      <c r="Z74" s="291">
        <v>5</v>
      </c>
      <c r="AA74" s="292"/>
      <c r="AB74" s="293"/>
      <c r="AC74" s="293"/>
      <c r="AD74" s="293"/>
      <c r="AE74" s="293"/>
      <c r="AF74" s="293"/>
      <c r="AG74" s="293"/>
      <c r="AH74" s="293"/>
      <c r="AI74" s="293"/>
      <c r="AJ74" s="293"/>
      <c r="AK74" s="293"/>
      <c r="AL74" s="293"/>
      <c r="AM74" s="293"/>
      <c r="AN74" s="293"/>
      <c r="AO74" s="293"/>
      <c r="AP74" s="293"/>
      <c r="AQ74" s="293"/>
      <c r="AR74" s="293"/>
      <c r="AS74" s="293"/>
      <c r="AT74" s="293"/>
      <c r="AU74" s="293"/>
      <c r="AV74" s="293"/>
      <c r="AW74" s="293"/>
      <c r="AX74" s="293"/>
      <c r="AY74" s="293"/>
      <c r="AZ74" s="293"/>
      <c r="BA74" s="293"/>
      <c r="BB74" s="293"/>
      <c r="BC74" s="294"/>
      <c r="BD74" s="295" t="s">
        <v>645</v>
      </c>
      <c r="BS74" s="86" t="s">
        <v>173</v>
      </c>
      <c r="BT74" s="86" t="s">
        <v>174</v>
      </c>
      <c r="BU74" s="87" t="s">
        <v>661</v>
      </c>
      <c r="BV74" s="84" t="s">
        <v>660</v>
      </c>
      <c r="DH74" s="7" t="s">
        <v>666</v>
      </c>
      <c r="DI74" s="7" t="s">
        <v>84</v>
      </c>
      <c r="DJ74" s="7" t="s">
        <v>197</v>
      </c>
      <c r="DK74" s="7" t="s">
        <v>198</v>
      </c>
      <c r="DL74" s="7" t="s">
        <v>196</v>
      </c>
      <c r="DQ74" s="7" t="s">
        <v>661</v>
      </c>
      <c r="DR74" s="7" t="s">
        <v>660</v>
      </c>
      <c r="EL74" s="828" t="s">
        <v>665</v>
      </c>
      <c r="EM74" s="312" t="s">
        <v>663</v>
      </c>
      <c r="EN74" s="268" t="s">
        <v>664</v>
      </c>
      <c r="EO74" s="268">
        <v>1</v>
      </c>
      <c r="EP74" s="268">
        <v>5</v>
      </c>
      <c r="EQ74" s="269">
        <v>2</v>
      </c>
      <c r="ER74" s="269">
        <v>5</v>
      </c>
      <c r="ES74" s="269">
        <v>5</v>
      </c>
      <c r="ET74" s="820">
        <v>5</v>
      </c>
    </row>
    <row r="75" spans="1:150" ht="81.75" customHeight="1" x14ac:dyDescent="0.2">
      <c r="A75" s="271" t="s">
        <v>53</v>
      </c>
      <c r="B75" s="424" t="s">
        <v>54</v>
      </c>
      <c r="C75" s="425" t="s">
        <v>55</v>
      </c>
      <c r="D75" s="425"/>
      <c r="E75" s="8" t="s">
        <v>641</v>
      </c>
      <c r="F75" s="275" t="str">
        <f t="shared" si="26"/>
        <v>E1.P_D</v>
      </c>
      <c r="G75" s="505" t="s">
        <v>106</v>
      </c>
      <c r="H75" s="506" t="s">
        <v>198</v>
      </c>
      <c r="I75" s="438"/>
      <c r="J75" s="278" t="s">
        <v>61</v>
      </c>
      <c r="K75" s="279" t="str">
        <f t="shared" si="27"/>
        <v>E1.P_D.MR1</v>
      </c>
      <c r="L75" s="507" t="s">
        <v>174</v>
      </c>
      <c r="M75" s="508" t="s">
        <v>532</v>
      </c>
      <c r="N75" s="282">
        <v>1400</v>
      </c>
      <c r="O75" s="487">
        <v>1800</v>
      </c>
      <c r="P75" s="476" t="s">
        <v>142</v>
      </c>
      <c r="Q75" s="488" t="str">
        <f t="shared" si="28"/>
        <v>E1.P_D.MR1-MP07-1</v>
      </c>
      <c r="R75" s="416" t="s">
        <v>667</v>
      </c>
      <c r="S75" s="308" t="s">
        <v>668</v>
      </c>
      <c r="T75" s="375">
        <v>1</v>
      </c>
      <c r="U75" s="376">
        <v>1</v>
      </c>
      <c r="V75" s="375" t="s">
        <v>102</v>
      </c>
      <c r="W75" s="309">
        <v>0</v>
      </c>
      <c r="X75" s="324">
        <v>33.299999999999997</v>
      </c>
      <c r="Y75" s="309">
        <v>33.299999999999997</v>
      </c>
      <c r="Z75" s="310">
        <v>33.299999999999997</v>
      </c>
      <c r="AA75" s="377"/>
      <c r="AB75" s="378"/>
      <c r="AC75" s="378"/>
      <c r="AD75" s="378"/>
      <c r="AE75" s="378"/>
      <c r="AF75" s="378"/>
      <c r="AG75" s="378"/>
      <c r="AH75" s="378"/>
      <c r="AI75" s="378"/>
      <c r="AJ75" s="378"/>
      <c r="AK75" s="378"/>
      <c r="AL75" s="378"/>
      <c r="AM75" s="378"/>
      <c r="AN75" s="378"/>
      <c r="AO75" s="378"/>
      <c r="AP75" s="378"/>
      <c r="AQ75" s="378"/>
      <c r="AR75" s="378"/>
      <c r="AS75" s="378"/>
      <c r="AT75" s="378"/>
      <c r="AU75" s="378"/>
      <c r="AV75" s="378"/>
      <c r="AW75" s="378"/>
      <c r="AX75" s="378"/>
      <c r="AY75" s="378"/>
      <c r="AZ75" s="378"/>
      <c r="BA75" s="378"/>
      <c r="BB75" s="378"/>
      <c r="BC75" s="379"/>
      <c r="BD75" s="295" t="s">
        <v>645</v>
      </c>
      <c r="BS75" s="86" t="s">
        <v>173</v>
      </c>
      <c r="BT75" s="86" t="s">
        <v>174</v>
      </c>
      <c r="BU75" s="87" t="s">
        <v>665</v>
      </c>
      <c r="BV75" s="84" t="s">
        <v>663</v>
      </c>
      <c r="DH75" s="7" t="s">
        <v>670</v>
      </c>
      <c r="DI75" s="7" t="s">
        <v>84</v>
      </c>
      <c r="DJ75" s="7" t="s">
        <v>197</v>
      </c>
      <c r="DK75" s="7" t="s">
        <v>198</v>
      </c>
      <c r="DL75" s="7" t="s">
        <v>196</v>
      </c>
      <c r="DQ75" s="7" t="s">
        <v>665</v>
      </c>
      <c r="DR75" s="7" t="s">
        <v>663</v>
      </c>
      <c r="EL75" s="828" t="s">
        <v>669</v>
      </c>
      <c r="EM75" s="312" t="s">
        <v>667</v>
      </c>
      <c r="EN75" s="268" t="s">
        <v>668</v>
      </c>
      <c r="EO75" s="380">
        <v>1</v>
      </c>
      <c r="EP75" s="380">
        <v>1</v>
      </c>
      <c r="EQ75" s="270">
        <v>1</v>
      </c>
      <c r="ER75" s="270">
        <v>1</v>
      </c>
      <c r="ES75" s="270">
        <v>1</v>
      </c>
      <c r="ET75" s="823">
        <v>1</v>
      </c>
    </row>
    <row r="76" spans="1:150" ht="48" customHeight="1" x14ac:dyDescent="0.2">
      <c r="A76" s="271" t="s">
        <v>53</v>
      </c>
      <c r="B76" s="424" t="s">
        <v>54</v>
      </c>
      <c r="C76" s="425" t="s">
        <v>55</v>
      </c>
      <c r="D76" s="425"/>
      <c r="E76" s="8" t="s">
        <v>641</v>
      </c>
      <c r="F76" s="275" t="str">
        <f t="shared" si="26"/>
        <v>E1.P_D</v>
      </c>
      <c r="G76" s="505" t="s">
        <v>106</v>
      </c>
      <c r="H76" s="506" t="s">
        <v>198</v>
      </c>
      <c r="I76" s="438"/>
      <c r="J76" s="278" t="s">
        <v>61</v>
      </c>
      <c r="K76" s="279" t="str">
        <f t="shared" si="27"/>
        <v>E1.P_D.MR1</v>
      </c>
      <c r="L76" s="507" t="s">
        <v>174</v>
      </c>
      <c r="M76" s="508" t="s">
        <v>532</v>
      </c>
      <c r="N76" s="282">
        <v>1400</v>
      </c>
      <c r="O76" s="487">
        <v>1800</v>
      </c>
      <c r="P76" s="476" t="s">
        <v>156</v>
      </c>
      <c r="Q76" s="488" t="str">
        <f t="shared" si="28"/>
        <v>E1.P_D.MR1-MP08-1</v>
      </c>
      <c r="R76" s="416" t="s">
        <v>671</v>
      </c>
      <c r="S76" s="308" t="s">
        <v>672</v>
      </c>
      <c r="T76" s="375">
        <v>200</v>
      </c>
      <c r="U76" s="376">
        <v>240</v>
      </c>
      <c r="V76" s="375" t="s">
        <v>67</v>
      </c>
      <c r="W76" s="289">
        <v>45</v>
      </c>
      <c r="X76" s="290">
        <v>65</v>
      </c>
      <c r="Y76" s="289">
        <v>65</v>
      </c>
      <c r="Z76" s="291">
        <v>65</v>
      </c>
      <c r="AA76" s="377"/>
      <c r="AB76" s="378"/>
      <c r="AC76" s="378"/>
      <c r="AD76" s="378"/>
      <c r="AE76" s="378"/>
      <c r="AF76" s="378"/>
      <c r="AG76" s="378"/>
      <c r="AH76" s="378"/>
      <c r="AI76" s="378"/>
      <c r="AJ76" s="378"/>
      <c r="AK76" s="378"/>
      <c r="AL76" s="378"/>
      <c r="AM76" s="378"/>
      <c r="AN76" s="378"/>
      <c r="AO76" s="378"/>
      <c r="AP76" s="378"/>
      <c r="AQ76" s="378"/>
      <c r="AR76" s="378"/>
      <c r="AS76" s="378"/>
      <c r="AT76" s="378"/>
      <c r="AU76" s="378"/>
      <c r="AV76" s="378"/>
      <c r="AW76" s="378"/>
      <c r="AX76" s="378"/>
      <c r="AY76" s="378"/>
      <c r="AZ76" s="378"/>
      <c r="BA76" s="378"/>
      <c r="BB76" s="378"/>
      <c r="BC76" s="379"/>
      <c r="BD76" s="295" t="s">
        <v>645</v>
      </c>
      <c r="BS76" s="86" t="s">
        <v>173</v>
      </c>
      <c r="BT76" s="86" t="s">
        <v>174</v>
      </c>
      <c r="BU76" s="87" t="s">
        <v>669</v>
      </c>
      <c r="BV76" s="84" t="s">
        <v>667</v>
      </c>
      <c r="DH76" s="7" t="s">
        <v>674</v>
      </c>
      <c r="DI76" s="7" t="s">
        <v>84</v>
      </c>
      <c r="DJ76" s="7" t="s">
        <v>197</v>
      </c>
      <c r="DK76" s="7" t="s">
        <v>198</v>
      </c>
      <c r="DL76" s="7" t="s">
        <v>196</v>
      </c>
      <c r="DQ76" s="7" t="s">
        <v>669</v>
      </c>
      <c r="DR76" s="7" t="s">
        <v>667</v>
      </c>
      <c r="EL76" s="828" t="s">
        <v>673</v>
      </c>
      <c r="EM76" s="312" t="s">
        <v>671</v>
      </c>
      <c r="EN76" s="268" t="s">
        <v>672</v>
      </c>
      <c r="EO76" s="380">
        <v>200</v>
      </c>
      <c r="EP76" s="380">
        <v>240</v>
      </c>
      <c r="EQ76" s="269">
        <v>45</v>
      </c>
      <c r="ER76" s="269">
        <v>65</v>
      </c>
      <c r="ES76" s="269">
        <v>65</v>
      </c>
      <c r="ET76" s="820">
        <v>65</v>
      </c>
    </row>
    <row r="77" spans="1:150" ht="68.25" customHeight="1" x14ac:dyDescent="0.2">
      <c r="A77" s="271" t="s">
        <v>53</v>
      </c>
      <c r="B77" s="424" t="s">
        <v>54</v>
      </c>
      <c r="C77" s="425" t="s">
        <v>55</v>
      </c>
      <c r="D77" s="425"/>
      <c r="E77" s="8" t="s">
        <v>641</v>
      </c>
      <c r="F77" s="275" t="str">
        <f t="shared" si="26"/>
        <v>E1.P_D</v>
      </c>
      <c r="G77" s="505" t="s">
        <v>106</v>
      </c>
      <c r="H77" s="506" t="s">
        <v>198</v>
      </c>
      <c r="I77" s="438"/>
      <c r="J77" s="278" t="s">
        <v>61</v>
      </c>
      <c r="K77" s="279" t="str">
        <f t="shared" si="27"/>
        <v>E1.P_D.MR1</v>
      </c>
      <c r="L77" s="507" t="s">
        <v>174</v>
      </c>
      <c r="M77" s="508" t="s">
        <v>532</v>
      </c>
      <c r="N77" s="282">
        <v>1400</v>
      </c>
      <c r="O77" s="487">
        <v>1800</v>
      </c>
      <c r="P77" s="476" t="s">
        <v>515</v>
      </c>
      <c r="Q77" s="488" t="str">
        <f t="shared" si="28"/>
        <v>E1.P_D.MR1-MP09-1</v>
      </c>
      <c r="R77" s="416" t="s">
        <v>675</v>
      </c>
      <c r="S77" s="308" t="s">
        <v>676</v>
      </c>
      <c r="T77" s="375">
        <v>154</v>
      </c>
      <c r="U77" s="376">
        <v>200</v>
      </c>
      <c r="V77" s="375" t="s">
        <v>67</v>
      </c>
      <c r="W77" s="289">
        <v>50</v>
      </c>
      <c r="X77" s="290">
        <v>50</v>
      </c>
      <c r="Y77" s="289">
        <v>50</v>
      </c>
      <c r="Z77" s="291">
        <v>50</v>
      </c>
      <c r="AA77" s="377"/>
      <c r="AB77" s="378"/>
      <c r="AC77" s="378"/>
      <c r="AD77" s="378"/>
      <c r="AE77" s="378"/>
      <c r="AF77" s="378"/>
      <c r="AG77" s="378"/>
      <c r="AH77" s="378"/>
      <c r="AI77" s="378"/>
      <c r="AJ77" s="378"/>
      <c r="AK77" s="378"/>
      <c r="AL77" s="378"/>
      <c r="AM77" s="378"/>
      <c r="AN77" s="378"/>
      <c r="AO77" s="378"/>
      <c r="AP77" s="378"/>
      <c r="AQ77" s="378"/>
      <c r="AR77" s="378"/>
      <c r="AS77" s="378"/>
      <c r="AT77" s="378"/>
      <c r="AU77" s="378"/>
      <c r="AV77" s="378"/>
      <c r="AW77" s="378"/>
      <c r="AX77" s="378"/>
      <c r="AY77" s="378"/>
      <c r="AZ77" s="378"/>
      <c r="BA77" s="378"/>
      <c r="BB77" s="378"/>
      <c r="BC77" s="379"/>
      <c r="BD77" s="295" t="s">
        <v>645</v>
      </c>
      <c r="BS77" s="86" t="s">
        <v>173</v>
      </c>
      <c r="BT77" s="86" t="s">
        <v>174</v>
      </c>
      <c r="BU77" s="87" t="s">
        <v>673</v>
      </c>
      <c r="BV77" s="84" t="s">
        <v>671</v>
      </c>
      <c r="DH77" s="7" t="s">
        <v>678</v>
      </c>
      <c r="DI77" s="7" t="s">
        <v>84</v>
      </c>
      <c r="DJ77" s="7" t="s">
        <v>197</v>
      </c>
      <c r="DK77" s="7" t="s">
        <v>198</v>
      </c>
      <c r="DL77" s="7" t="s">
        <v>196</v>
      </c>
      <c r="DQ77" s="7" t="s">
        <v>673</v>
      </c>
      <c r="DR77" s="7" t="s">
        <v>671</v>
      </c>
      <c r="EL77" s="828" t="s">
        <v>677</v>
      </c>
      <c r="EM77" s="312" t="s">
        <v>675</v>
      </c>
      <c r="EN77" s="268" t="s">
        <v>676</v>
      </c>
      <c r="EO77" s="380">
        <v>154</v>
      </c>
      <c r="EP77" s="380">
        <v>200</v>
      </c>
      <c r="EQ77" s="269">
        <v>50</v>
      </c>
      <c r="ER77" s="269">
        <v>50</v>
      </c>
      <c r="ES77" s="269">
        <v>50</v>
      </c>
      <c r="ET77" s="820">
        <v>50</v>
      </c>
    </row>
    <row r="78" spans="1:150" ht="84" customHeight="1" x14ac:dyDescent="0.2">
      <c r="A78" s="271" t="s">
        <v>53</v>
      </c>
      <c r="B78" s="424" t="s">
        <v>54</v>
      </c>
      <c r="C78" s="425" t="s">
        <v>55</v>
      </c>
      <c r="D78" s="425"/>
      <c r="E78" s="8" t="s">
        <v>641</v>
      </c>
      <c r="F78" s="275" t="str">
        <f t="shared" si="26"/>
        <v>E1.P_D</v>
      </c>
      <c r="G78" s="505" t="s">
        <v>106</v>
      </c>
      <c r="H78" s="506" t="s">
        <v>198</v>
      </c>
      <c r="I78" s="438"/>
      <c r="J78" s="278" t="s">
        <v>61</v>
      </c>
      <c r="K78" s="279" t="str">
        <f t="shared" si="27"/>
        <v>E1.P_D.MR1</v>
      </c>
      <c r="L78" s="507" t="s">
        <v>174</v>
      </c>
      <c r="M78" s="508" t="s">
        <v>532</v>
      </c>
      <c r="N78" s="282">
        <v>1400</v>
      </c>
      <c r="O78" s="487">
        <v>1800</v>
      </c>
      <c r="P78" s="476" t="s">
        <v>522</v>
      </c>
      <c r="Q78" s="488" t="str">
        <f t="shared" si="28"/>
        <v>E1.P_D.MR1-MP10-1</v>
      </c>
      <c r="R78" s="416" t="s">
        <v>679</v>
      </c>
      <c r="S78" s="308" t="s">
        <v>680</v>
      </c>
      <c r="T78" s="313">
        <v>0.1</v>
      </c>
      <c r="U78" s="314">
        <v>1</v>
      </c>
      <c r="V78" s="313" t="s">
        <v>67</v>
      </c>
      <c r="W78" s="315">
        <v>0.25</v>
      </c>
      <c r="X78" s="316">
        <v>0.25</v>
      </c>
      <c r="Y78" s="315">
        <v>0.25</v>
      </c>
      <c r="Z78" s="317">
        <v>0.25</v>
      </c>
      <c r="AA78" s="318"/>
      <c r="AB78" s="319"/>
      <c r="AC78" s="319"/>
      <c r="AD78" s="319"/>
      <c r="AE78" s="319"/>
      <c r="AF78" s="319"/>
      <c r="AG78" s="319"/>
      <c r="AH78" s="319"/>
      <c r="AI78" s="319"/>
      <c r="AJ78" s="319"/>
      <c r="AK78" s="319"/>
      <c r="AL78" s="319"/>
      <c r="AM78" s="319"/>
      <c r="AN78" s="319"/>
      <c r="AO78" s="319"/>
      <c r="AP78" s="319"/>
      <c r="AQ78" s="319"/>
      <c r="AR78" s="319"/>
      <c r="AS78" s="319"/>
      <c r="AT78" s="319"/>
      <c r="AU78" s="319"/>
      <c r="AV78" s="319"/>
      <c r="AW78" s="319"/>
      <c r="AX78" s="319"/>
      <c r="AY78" s="319"/>
      <c r="AZ78" s="319"/>
      <c r="BA78" s="319"/>
      <c r="BB78" s="319"/>
      <c r="BC78" s="320"/>
      <c r="BD78" s="295" t="s">
        <v>645</v>
      </c>
      <c r="BS78" s="86" t="s">
        <v>173</v>
      </c>
      <c r="BT78" s="86" t="s">
        <v>174</v>
      </c>
      <c r="BU78" s="87" t="s">
        <v>677</v>
      </c>
      <c r="BV78" s="84" t="s">
        <v>675</v>
      </c>
      <c r="DH78" s="7" t="s">
        <v>682</v>
      </c>
      <c r="DI78" s="7" t="s">
        <v>84</v>
      </c>
      <c r="DJ78" s="7" t="s">
        <v>197</v>
      </c>
      <c r="DK78" s="7" t="s">
        <v>198</v>
      </c>
      <c r="DL78" s="7" t="s">
        <v>196</v>
      </c>
      <c r="DQ78" s="7" t="s">
        <v>677</v>
      </c>
      <c r="DR78" s="7" t="s">
        <v>675</v>
      </c>
      <c r="EL78" s="828" t="s">
        <v>681</v>
      </c>
      <c r="EM78" s="312" t="s">
        <v>679</v>
      </c>
      <c r="EN78" s="268" t="s">
        <v>1895</v>
      </c>
      <c r="EO78" s="323">
        <v>10</v>
      </c>
      <c r="EP78" s="323">
        <v>100</v>
      </c>
      <c r="EQ78" s="323">
        <v>25</v>
      </c>
      <c r="ER78" s="323">
        <v>25</v>
      </c>
      <c r="ES78" s="323">
        <v>25</v>
      </c>
      <c r="ET78" s="819">
        <v>25</v>
      </c>
    </row>
    <row r="79" spans="1:150" ht="82.5" customHeight="1" x14ac:dyDescent="0.2">
      <c r="A79" s="271" t="s">
        <v>53</v>
      </c>
      <c r="B79" s="424" t="s">
        <v>54</v>
      </c>
      <c r="C79" s="425" t="s">
        <v>55</v>
      </c>
      <c r="D79" s="425"/>
      <c r="E79" s="8" t="s">
        <v>641</v>
      </c>
      <c r="F79" s="275" t="str">
        <f t="shared" si="26"/>
        <v>E1.P_D</v>
      </c>
      <c r="G79" s="505" t="s">
        <v>106</v>
      </c>
      <c r="H79" s="506" t="s">
        <v>198</v>
      </c>
      <c r="I79" s="438"/>
      <c r="J79" s="278" t="s">
        <v>61</v>
      </c>
      <c r="K79" s="279" t="str">
        <f t="shared" si="27"/>
        <v>E1.P_D.MR1</v>
      </c>
      <c r="L79" s="507" t="s">
        <v>174</v>
      </c>
      <c r="M79" s="508" t="s">
        <v>532</v>
      </c>
      <c r="N79" s="282">
        <v>1400</v>
      </c>
      <c r="O79" s="487">
        <v>1800</v>
      </c>
      <c r="P79" s="476" t="s">
        <v>610</v>
      </c>
      <c r="Q79" s="488" t="str">
        <f t="shared" si="28"/>
        <v>E1.P_D.MR1-MP11-1</v>
      </c>
      <c r="R79" s="416" t="s">
        <v>683</v>
      </c>
      <c r="S79" s="308" t="s">
        <v>684</v>
      </c>
      <c r="T79" s="287">
        <v>1</v>
      </c>
      <c r="U79" s="288">
        <v>2</v>
      </c>
      <c r="V79" s="287" t="s">
        <v>67</v>
      </c>
      <c r="W79" s="289">
        <v>0</v>
      </c>
      <c r="X79" s="290">
        <v>2</v>
      </c>
      <c r="Y79" s="289">
        <v>0</v>
      </c>
      <c r="Z79" s="291">
        <v>0</v>
      </c>
      <c r="AA79" s="292"/>
      <c r="AB79" s="293"/>
      <c r="AC79" s="293"/>
      <c r="AD79" s="293"/>
      <c r="AE79" s="293"/>
      <c r="AF79" s="293"/>
      <c r="AG79" s="293"/>
      <c r="AH79" s="293"/>
      <c r="AI79" s="293"/>
      <c r="AJ79" s="293"/>
      <c r="AK79" s="293"/>
      <c r="AL79" s="293"/>
      <c r="AM79" s="293"/>
      <c r="AN79" s="293"/>
      <c r="AO79" s="293"/>
      <c r="AP79" s="293"/>
      <c r="AQ79" s="293"/>
      <c r="AR79" s="293"/>
      <c r="AS79" s="293"/>
      <c r="AT79" s="293"/>
      <c r="AU79" s="293"/>
      <c r="AV79" s="293"/>
      <c r="AW79" s="293"/>
      <c r="AX79" s="293"/>
      <c r="AY79" s="293"/>
      <c r="AZ79" s="293"/>
      <c r="BA79" s="293"/>
      <c r="BB79" s="293"/>
      <c r="BC79" s="294"/>
      <c r="BD79" s="295" t="s">
        <v>645</v>
      </c>
      <c r="BS79" s="86" t="s">
        <v>173</v>
      </c>
      <c r="BT79" s="86" t="s">
        <v>174</v>
      </c>
      <c r="BU79" s="87" t="s">
        <v>681</v>
      </c>
      <c r="BV79" s="84" t="s">
        <v>679</v>
      </c>
      <c r="DH79" s="7" t="s">
        <v>686</v>
      </c>
      <c r="DI79" s="7" t="s">
        <v>84</v>
      </c>
      <c r="DJ79" s="7" t="s">
        <v>197</v>
      </c>
      <c r="DK79" s="7" t="s">
        <v>198</v>
      </c>
      <c r="DL79" s="7" t="s">
        <v>196</v>
      </c>
      <c r="DQ79" s="7" t="s">
        <v>681</v>
      </c>
      <c r="DR79" s="7" t="s">
        <v>679</v>
      </c>
      <c r="EL79" s="828" t="s">
        <v>685</v>
      </c>
      <c r="EM79" s="312" t="s">
        <v>683</v>
      </c>
      <c r="EN79" s="268" t="s">
        <v>684</v>
      </c>
      <c r="EO79" s="268">
        <v>1</v>
      </c>
      <c r="EP79" s="268">
        <v>2</v>
      </c>
      <c r="EQ79" s="269">
        <v>0</v>
      </c>
      <c r="ER79" s="808">
        <v>0</v>
      </c>
      <c r="ES79" s="809">
        <v>0.5</v>
      </c>
      <c r="ET79" s="818">
        <v>0.5</v>
      </c>
    </row>
    <row r="80" spans="1:150" ht="55.5" customHeight="1" x14ac:dyDescent="0.2">
      <c r="A80" s="271" t="s">
        <v>53</v>
      </c>
      <c r="B80" s="424" t="s">
        <v>54</v>
      </c>
      <c r="C80" s="425" t="s">
        <v>55</v>
      </c>
      <c r="D80" s="425"/>
      <c r="E80" s="8" t="s">
        <v>641</v>
      </c>
      <c r="F80" s="275" t="str">
        <f t="shared" si="26"/>
        <v>E1.P_D</v>
      </c>
      <c r="G80" s="505" t="s">
        <v>106</v>
      </c>
      <c r="H80" s="506" t="s">
        <v>198</v>
      </c>
      <c r="I80" s="438"/>
      <c r="J80" s="278" t="s">
        <v>61</v>
      </c>
      <c r="K80" s="279" t="str">
        <f t="shared" si="27"/>
        <v>E1.P_D.MR1</v>
      </c>
      <c r="L80" s="507" t="s">
        <v>174</v>
      </c>
      <c r="M80" s="508" t="s">
        <v>532</v>
      </c>
      <c r="N80" s="282">
        <v>1400</v>
      </c>
      <c r="O80" s="487">
        <v>1800</v>
      </c>
      <c r="P80" s="476" t="s">
        <v>615</v>
      </c>
      <c r="Q80" s="488" t="str">
        <f t="shared" si="28"/>
        <v>E1.P_D.MR1-MP12-1</v>
      </c>
      <c r="R80" s="416" t="s">
        <v>687</v>
      </c>
      <c r="S80" s="308" t="s">
        <v>688</v>
      </c>
      <c r="T80" s="375">
        <v>55</v>
      </c>
      <c r="U80" s="376">
        <v>57</v>
      </c>
      <c r="V80" s="375" t="s">
        <v>67</v>
      </c>
      <c r="W80" s="289">
        <v>0</v>
      </c>
      <c r="X80" s="290">
        <v>2</v>
      </c>
      <c r="Y80" s="289">
        <v>0</v>
      </c>
      <c r="Z80" s="291">
        <v>0</v>
      </c>
      <c r="AA80" s="377"/>
      <c r="AB80" s="378"/>
      <c r="AC80" s="378"/>
      <c r="AD80" s="378"/>
      <c r="AE80" s="378"/>
      <c r="AF80" s="378"/>
      <c r="AG80" s="378"/>
      <c r="AH80" s="378"/>
      <c r="AI80" s="378"/>
      <c r="AJ80" s="378"/>
      <c r="AK80" s="378"/>
      <c r="AL80" s="378"/>
      <c r="AM80" s="378"/>
      <c r="AN80" s="378"/>
      <c r="AO80" s="378"/>
      <c r="AP80" s="378"/>
      <c r="AQ80" s="378"/>
      <c r="AR80" s="378"/>
      <c r="AS80" s="378"/>
      <c r="AT80" s="378"/>
      <c r="AU80" s="378"/>
      <c r="AV80" s="378"/>
      <c r="AW80" s="378"/>
      <c r="AX80" s="378"/>
      <c r="AY80" s="378"/>
      <c r="AZ80" s="378"/>
      <c r="BA80" s="378"/>
      <c r="BB80" s="378"/>
      <c r="BC80" s="379"/>
      <c r="BD80" s="295" t="s">
        <v>645</v>
      </c>
      <c r="BS80" s="86" t="s">
        <v>173</v>
      </c>
      <c r="BT80" s="86" t="s">
        <v>174</v>
      </c>
      <c r="BU80" s="87" t="s">
        <v>685</v>
      </c>
      <c r="BV80" s="84" t="s">
        <v>683</v>
      </c>
      <c r="DH80" s="7" t="s">
        <v>690</v>
      </c>
      <c r="DI80" s="7" t="s">
        <v>84</v>
      </c>
      <c r="DJ80" s="7" t="s">
        <v>197</v>
      </c>
      <c r="DK80" s="7" t="s">
        <v>198</v>
      </c>
      <c r="DL80" s="7" t="s">
        <v>196</v>
      </c>
      <c r="DQ80" s="7" t="s">
        <v>685</v>
      </c>
      <c r="DR80" s="7" t="s">
        <v>683</v>
      </c>
      <c r="EL80" s="828" t="s">
        <v>689</v>
      </c>
      <c r="EM80" s="312" t="s">
        <v>687</v>
      </c>
      <c r="EN80" s="268" t="s">
        <v>688</v>
      </c>
      <c r="EO80" s="831">
        <v>55</v>
      </c>
      <c r="EP80" s="831">
        <v>57</v>
      </c>
      <c r="EQ80" s="803">
        <v>0</v>
      </c>
      <c r="ER80" s="808">
        <v>1</v>
      </c>
      <c r="ES80" s="808">
        <v>1</v>
      </c>
      <c r="ET80" s="830">
        <v>0</v>
      </c>
    </row>
    <row r="81" spans="1:150" ht="69" customHeight="1" thickBot="1" x14ac:dyDescent="0.25">
      <c r="A81" s="271" t="s">
        <v>53</v>
      </c>
      <c r="B81" s="424" t="s">
        <v>54</v>
      </c>
      <c r="C81" s="425" t="s">
        <v>55</v>
      </c>
      <c r="D81" s="425"/>
      <c r="E81" s="8" t="s">
        <v>641</v>
      </c>
      <c r="F81" s="275" t="str">
        <f t="shared" si="26"/>
        <v>E1.P_D</v>
      </c>
      <c r="G81" s="509" t="s">
        <v>106</v>
      </c>
      <c r="H81" s="506" t="s">
        <v>198</v>
      </c>
      <c r="I81" s="442"/>
      <c r="J81" s="335" t="s">
        <v>61</v>
      </c>
      <c r="K81" s="279" t="str">
        <f t="shared" si="27"/>
        <v>E1.P_D.MR1</v>
      </c>
      <c r="L81" s="507" t="s">
        <v>174</v>
      </c>
      <c r="M81" s="508" t="s">
        <v>532</v>
      </c>
      <c r="N81" s="422">
        <v>1400</v>
      </c>
      <c r="O81" s="493">
        <v>1800</v>
      </c>
      <c r="P81" s="476" t="s">
        <v>620</v>
      </c>
      <c r="Q81" s="494" t="str">
        <f t="shared" si="28"/>
        <v>E1.P_D.MR1-MP13-1</v>
      </c>
      <c r="R81" s="471" t="s">
        <v>691</v>
      </c>
      <c r="S81" s="331" t="s">
        <v>688</v>
      </c>
      <c r="T81" s="345">
        <v>1</v>
      </c>
      <c r="U81" s="346">
        <v>1</v>
      </c>
      <c r="V81" s="345" t="s">
        <v>102</v>
      </c>
      <c r="W81" s="389">
        <v>0.25</v>
      </c>
      <c r="X81" s="390">
        <v>0.25</v>
      </c>
      <c r="Y81" s="389">
        <v>0.25</v>
      </c>
      <c r="Z81" s="391">
        <v>0.25</v>
      </c>
      <c r="AA81" s="292"/>
      <c r="AB81" s="293"/>
      <c r="AC81" s="293"/>
      <c r="AD81" s="293"/>
      <c r="AE81" s="293"/>
      <c r="AF81" s="293"/>
      <c r="AG81" s="293"/>
      <c r="AH81" s="293"/>
      <c r="AI81" s="293"/>
      <c r="AJ81" s="293"/>
      <c r="AK81" s="293"/>
      <c r="AL81" s="293"/>
      <c r="AM81" s="293"/>
      <c r="AN81" s="293"/>
      <c r="AO81" s="293"/>
      <c r="AP81" s="293"/>
      <c r="AQ81" s="293"/>
      <c r="AR81" s="293"/>
      <c r="AS81" s="293"/>
      <c r="AT81" s="293"/>
      <c r="AU81" s="293"/>
      <c r="AV81" s="293"/>
      <c r="AW81" s="293"/>
      <c r="AX81" s="293"/>
      <c r="AY81" s="293"/>
      <c r="AZ81" s="293"/>
      <c r="BA81" s="293"/>
      <c r="BB81" s="293"/>
      <c r="BC81" s="294"/>
      <c r="BD81" s="295" t="s">
        <v>645</v>
      </c>
      <c r="BS81" s="86" t="s">
        <v>173</v>
      </c>
      <c r="BT81" s="86" t="s">
        <v>174</v>
      </c>
      <c r="BU81" s="87" t="s">
        <v>689</v>
      </c>
      <c r="BV81" s="84" t="s">
        <v>687</v>
      </c>
      <c r="DH81" s="7" t="s">
        <v>693</v>
      </c>
      <c r="DI81" s="7" t="s">
        <v>84</v>
      </c>
      <c r="DJ81" s="7" t="s">
        <v>197</v>
      </c>
      <c r="DK81" s="7" t="s">
        <v>198</v>
      </c>
      <c r="DL81" s="7" t="s">
        <v>196</v>
      </c>
      <c r="DQ81" s="7" t="s">
        <v>689</v>
      </c>
      <c r="DR81" s="7" t="s">
        <v>687</v>
      </c>
      <c r="EL81" s="828" t="s">
        <v>692</v>
      </c>
      <c r="EM81" s="312" t="s">
        <v>691</v>
      </c>
      <c r="EN81" s="804" t="s">
        <v>668</v>
      </c>
      <c r="EO81" s="268">
        <v>1</v>
      </c>
      <c r="EP81" s="268">
        <v>1</v>
      </c>
      <c r="EQ81" s="323">
        <v>1</v>
      </c>
      <c r="ER81" s="323">
        <v>1</v>
      </c>
      <c r="ES81" s="323">
        <v>1</v>
      </c>
      <c r="ET81" s="819">
        <v>1</v>
      </c>
    </row>
    <row r="82" spans="1:150" ht="100.5" customHeight="1" x14ac:dyDescent="0.2">
      <c r="A82" s="271" t="s">
        <v>53</v>
      </c>
      <c r="B82" s="446" t="s">
        <v>54</v>
      </c>
      <c r="C82" s="447" t="s">
        <v>55</v>
      </c>
      <c r="D82" s="426" t="s">
        <v>694</v>
      </c>
      <c r="E82" s="3" t="s">
        <v>695</v>
      </c>
      <c r="F82" s="427" t="str">
        <f t="shared" si="26"/>
        <v>E1.P_E</v>
      </c>
      <c r="G82" s="428" t="s">
        <v>116</v>
      </c>
      <c r="H82" s="473" t="s">
        <v>209</v>
      </c>
      <c r="I82" s="399" t="s">
        <v>696</v>
      </c>
      <c r="J82" s="430" t="s">
        <v>61</v>
      </c>
      <c r="K82" s="393" t="str">
        <f t="shared" si="27"/>
        <v>E1.P_E.MR1</v>
      </c>
      <c r="L82" s="510" t="s">
        <v>183</v>
      </c>
      <c r="M82" s="511" t="s">
        <v>532</v>
      </c>
      <c r="N82" s="241">
        <v>288</v>
      </c>
      <c r="O82" s="241">
        <v>400</v>
      </c>
      <c r="P82" s="512" t="s">
        <v>64</v>
      </c>
      <c r="Q82" s="513" t="str">
        <f t="shared" si="28"/>
        <v>E1.P_E.MR1-MP01-1</v>
      </c>
      <c r="R82" s="514" t="s">
        <v>697</v>
      </c>
      <c r="S82" s="515" t="s">
        <v>698</v>
      </c>
      <c r="T82" s="516">
        <v>0</v>
      </c>
      <c r="U82" s="517">
        <v>1</v>
      </c>
      <c r="V82" s="516" t="s">
        <v>67</v>
      </c>
      <c r="W82" s="518">
        <v>0</v>
      </c>
      <c r="X82" s="519">
        <v>0</v>
      </c>
      <c r="Y82" s="520">
        <v>0.65</v>
      </c>
      <c r="Z82" s="521">
        <v>0.35</v>
      </c>
      <c r="AA82" s="432">
        <f>120000000+119237525+762475</f>
        <v>240000000</v>
      </c>
      <c r="AB82" s="433"/>
      <c r="AC82" s="433">
        <v>0</v>
      </c>
      <c r="AD82" s="433"/>
      <c r="AE82" s="433"/>
      <c r="AF82" s="433"/>
      <c r="AG82" s="433">
        <f t="shared" ref="AG82" si="29">SUM(AA82:AF82)</f>
        <v>240000000</v>
      </c>
      <c r="AH82" s="433">
        <f t="shared" ref="AH82:AT82" si="30">+AA82</f>
        <v>240000000</v>
      </c>
      <c r="AI82" s="433">
        <f t="shared" si="30"/>
        <v>0</v>
      </c>
      <c r="AJ82" s="433">
        <f t="shared" si="30"/>
        <v>0</v>
      </c>
      <c r="AK82" s="433">
        <f t="shared" si="30"/>
        <v>0</v>
      </c>
      <c r="AL82" s="433">
        <f t="shared" si="30"/>
        <v>0</v>
      </c>
      <c r="AM82" s="433">
        <f t="shared" si="30"/>
        <v>0</v>
      </c>
      <c r="AN82" s="433">
        <f t="shared" si="30"/>
        <v>240000000</v>
      </c>
      <c r="AO82" s="433">
        <f t="shared" si="30"/>
        <v>240000000</v>
      </c>
      <c r="AP82" s="433">
        <f t="shared" si="30"/>
        <v>0</v>
      </c>
      <c r="AQ82" s="433">
        <f t="shared" si="30"/>
        <v>0</v>
      </c>
      <c r="AR82" s="433">
        <f t="shared" si="30"/>
        <v>0</v>
      </c>
      <c r="AS82" s="433">
        <f t="shared" si="30"/>
        <v>0</v>
      </c>
      <c r="AT82" s="433">
        <f t="shared" si="30"/>
        <v>0</v>
      </c>
      <c r="AU82" s="433">
        <f t="shared" ref="AU82" si="31">SUM(AO82:AT82)</f>
        <v>240000000</v>
      </c>
      <c r="AV82" s="433">
        <f t="shared" ref="AV82:BA82" si="32">+AO82</f>
        <v>240000000</v>
      </c>
      <c r="AW82" s="433">
        <f t="shared" si="32"/>
        <v>0</v>
      </c>
      <c r="AX82" s="433">
        <f t="shared" si="32"/>
        <v>0</v>
      </c>
      <c r="AY82" s="433">
        <f t="shared" si="32"/>
        <v>0</v>
      </c>
      <c r="AZ82" s="433">
        <f t="shared" si="32"/>
        <v>0</v>
      </c>
      <c r="BA82" s="433">
        <f t="shared" si="32"/>
        <v>0</v>
      </c>
      <c r="BB82" s="433">
        <f t="shared" ref="BB82" si="33">SUM(AV82:BA82)</f>
        <v>240000000</v>
      </c>
      <c r="BC82" s="434">
        <f t="shared" ref="BC82" si="34">+BB82+AU82+AN82+AG82</f>
        <v>960000000</v>
      </c>
      <c r="BD82" s="295" t="s">
        <v>699</v>
      </c>
      <c r="BS82" s="86" t="s">
        <v>173</v>
      </c>
      <c r="BT82" s="86" t="s">
        <v>174</v>
      </c>
      <c r="BU82" s="87" t="s">
        <v>692</v>
      </c>
      <c r="BV82" s="84" t="s">
        <v>691</v>
      </c>
      <c r="DH82" s="7" t="s">
        <v>701</v>
      </c>
      <c r="DI82" s="7" t="s">
        <v>84</v>
      </c>
      <c r="DJ82" s="7" t="s">
        <v>197</v>
      </c>
      <c r="DK82" s="7" t="s">
        <v>198</v>
      </c>
      <c r="DL82" s="7" t="s">
        <v>196</v>
      </c>
      <c r="DQ82" s="7" t="s">
        <v>692</v>
      </c>
      <c r="DR82" s="7" t="s">
        <v>691</v>
      </c>
      <c r="EL82" s="822" t="s">
        <v>700</v>
      </c>
      <c r="EM82" s="817" t="s">
        <v>697</v>
      </c>
      <c r="EN82" s="268" t="s">
        <v>698</v>
      </c>
      <c r="EO82" s="268">
        <v>0</v>
      </c>
      <c r="EP82" s="268">
        <v>1</v>
      </c>
      <c r="EQ82" s="269">
        <v>0</v>
      </c>
      <c r="ER82" s="809">
        <v>0.1</v>
      </c>
      <c r="ES82" s="810">
        <v>0.45</v>
      </c>
      <c r="ET82" s="821">
        <v>0.45</v>
      </c>
    </row>
    <row r="83" spans="1:150" ht="69" customHeight="1" x14ac:dyDescent="0.2">
      <c r="A83" s="271" t="s">
        <v>53</v>
      </c>
      <c r="B83" s="424" t="s">
        <v>54</v>
      </c>
      <c r="C83" s="425" t="s">
        <v>55</v>
      </c>
      <c r="D83" s="425"/>
      <c r="E83" s="8" t="s">
        <v>695</v>
      </c>
      <c r="F83" s="275" t="str">
        <f t="shared" si="26"/>
        <v>E1.P_E</v>
      </c>
      <c r="G83" s="485" t="s">
        <v>116</v>
      </c>
      <c r="H83" s="485" t="s">
        <v>209</v>
      </c>
      <c r="I83" s="438"/>
      <c r="J83" s="278" t="s">
        <v>61</v>
      </c>
      <c r="K83" s="279" t="str">
        <f t="shared" si="27"/>
        <v>E1.P_E.MR1</v>
      </c>
      <c r="L83" s="507" t="s">
        <v>183</v>
      </c>
      <c r="M83" s="508" t="s">
        <v>532</v>
      </c>
      <c r="N83" s="282">
        <v>288</v>
      </c>
      <c r="O83" s="282">
        <v>400</v>
      </c>
      <c r="P83" s="512" t="s">
        <v>87</v>
      </c>
      <c r="Q83" s="522" t="str">
        <f t="shared" si="28"/>
        <v>E1.P_E.MR1-MP02-1</v>
      </c>
      <c r="R83" s="523" t="s">
        <v>702</v>
      </c>
      <c r="S83" s="524" t="s">
        <v>703</v>
      </c>
      <c r="T83" s="525">
        <v>0</v>
      </c>
      <c r="U83" s="526">
        <v>1</v>
      </c>
      <c r="V83" s="525" t="s">
        <v>67</v>
      </c>
      <c r="W83" s="527">
        <v>0.5</v>
      </c>
      <c r="X83" s="528">
        <v>0.5</v>
      </c>
      <c r="Y83" s="529">
        <v>0</v>
      </c>
      <c r="Z83" s="530">
        <v>0</v>
      </c>
      <c r="AA83" s="531"/>
      <c r="AB83" s="532"/>
      <c r="AC83" s="532"/>
      <c r="AD83" s="532"/>
      <c r="AE83" s="532"/>
      <c r="AF83" s="532"/>
      <c r="AG83" s="532"/>
      <c r="AH83" s="532"/>
      <c r="AI83" s="532"/>
      <c r="AJ83" s="532"/>
      <c r="AK83" s="532"/>
      <c r="AL83" s="532"/>
      <c r="AM83" s="532"/>
      <c r="AN83" s="532"/>
      <c r="AO83" s="532"/>
      <c r="AP83" s="532"/>
      <c r="AQ83" s="532"/>
      <c r="AR83" s="532"/>
      <c r="AS83" s="532"/>
      <c r="AT83" s="532"/>
      <c r="AU83" s="532"/>
      <c r="AV83" s="532"/>
      <c r="AW83" s="532"/>
      <c r="AX83" s="532"/>
      <c r="AY83" s="532"/>
      <c r="AZ83" s="532"/>
      <c r="BA83" s="532"/>
      <c r="BB83" s="532"/>
      <c r="BC83" s="533"/>
      <c r="BD83" s="295" t="s">
        <v>699</v>
      </c>
      <c r="BS83" s="84" t="s">
        <v>182</v>
      </c>
      <c r="BT83" s="84" t="s">
        <v>183</v>
      </c>
      <c r="BU83" s="87" t="s">
        <v>700</v>
      </c>
      <c r="BV83" s="84" t="s">
        <v>697</v>
      </c>
      <c r="DH83" s="7" t="s">
        <v>705</v>
      </c>
      <c r="DI83" s="7" t="s">
        <v>84</v>
      </c>
      <c r="DJ83" s="7" t="s">
        <v>208</v>
      </c>
      <c r="DK83" s="7" t="s">
        <v>209</v>
      </c>
      <c r="DL83" s="7" t="s">
        <v>207</v>
      </c>
      <c r="DQ83" s="7" t="s">
        <v>700</v>
      </c>
      <c r="DR83" s="7" t="s">
        <v>697</v>
      </c>
      <c r="EL83" s="822" t="s">
        <v>704</v>
      </c>
      <c r="EM83" s="817" t="s">
        <v>702</v>
      </c>
      <c r="EN83" s="268" t="s">
        <v>703</v>
      </c>
      <c r="EO83" s="268">
        <v>0</v>
      </c>
      <c r="EP83" s="268">
        <v>1</v>
      </c>
      <c r="EQ83" s="270">
        <v>0.5</v>
      </c>
      <c r="ER83" s="270">
        <v>0.5</v>
      </c>
      <c r="ES83" s="269">
        <v>0</v>
      </c>
      <c r="ET83" s="820">
        <v>0</v>
      </c>
    </row>
    <row r="84" spans="1:150" ht="54" customHeight="1" x14ac:dyDescent="0.2">
      <c r="A84" s="271" t="s">
        <v>53</v>
      </c>
      <c r="B84" s="424" t="s">
        <v>54</v>
      </c>
      <c r="C84" s="425" t="s">
        <v>55</v>
      </c>
      <c r="D84" s="425"/>
      <c r="E84" s="8" t="s">
        <v>695</v>
      </c>
      <c r="F84" s="275" t="str">
        <f t="shared" si="26"/>
        <v>E1.P_E</v>
      </c>
      <c r="G84" s="485" t="s">
        <v>116</v>
      </c>
      <c r="H84" s="485" t="s">
        <v>209</v>
      </c>
      <c r="I84" s="438"/>
      <c r="J84" s="278" t="s">
        <v>61</v>
      </c>
      <c r="K84" s="279" t="str">
        <f t="shared" si="27"/>
        <v>E1.P_E.MR1</v>
      </c>
      <c r="L84" s="507" t="s">
        <v>183</v>
      </c>
      <c r="M84" s="508" t="s">
        <v>532</v>
      </c>
      <c r="N84" s="282">
        <v>288</v>
      </c>
      <c r="O84" s="282">
        <v>400</v>
      </c>
      <c r="P84" s="512" t="s">
        <v>99</v>
      </c>
      <c r="Q84" s="522" t="str">
        <f t="shared" si="28"/>
        <v>E1.P_E.MR1-MP03-1</v>
      </c>
      <c r="R84" s="523" t="s">
        <v>706</v>
      </c>
      <c r="S84" s="524" t="s">
        <v>707</v>
      </c>
      <c r="T84" s="534">
        <v>0.4</v>
      </c>
      <c r="U84" s="535">
        <v>1</v>
      </c>
      <c r="V84" s="534" t="s">
        <v>67</v>
      </c>
      <c r="W84" s="529">
        <v>0</v>
      </c>
      <c r="X84" s="528">
        <v>0.3</v>
      </c>
      <c r="Y84" s="527">
        <v>0.6</v>
      </c>
      <c r="Z84" s="536">
        <v>0.1</v>
      </c>
      <c r="AA84" s="537"/>
      <c r="AB84" s="538"/>
      <c r="AC84" s="538"/>
      <c r="AD84" s="538"/>
      <c r="AE84" s="538"/>
      <c r="AF84" s="538"/>
      <c r="AG84" s="538"/>
      <c r="AH84" s="538"/>
      <c r="AI84" s="538"/>
      <c r="AJ84" s="538"/>
      <c r="AK84" s="538"/>
      <c r="AL84" s="538"/>
      <c r="AM84" s="538"/>
      <c r="AN84" s="538"/>
      <c r="AO84" s="538"/>
      <c r="AP84" s="538"/>
      <c r="AQ84" s="538"/>
      <c r="AR84" s="538"/>
      <c r="AS84" s="538"/>
      <c r="AT84" s="538"/>
      <c r="AU84" s="538"/>
      <c r="AV84" s="538"/>
      <c r="AW84" s="538"/>
      <c r="AX84" s="538"/>
      <c r="AY84" s="538"/>
      <c r="AZ84" s="538"/>
      <c r="BA84" s="538"/>
      <c r="BB84" s="538"/>
      <c r="BC84" s="539"/>
      <c r="BD84" s="295" t="s">
        <v>699</v>
      </c>
      <c r="BS84" s="86" t="s">
        <v>182</v>
      </c>
      <c r="BT84" s="86" t="s">
        <v>183</v>
      </c>
      <c r="BU84" s="87" t="s">
        <v>704</v>
      </c>
      <c r="BV84" s="84" t="s">
        <v>702</v>
      </c>
      <c r="DH84" s="7" t="s">
        <v>709</v>
      </c>
      <c r="DI84" s="7" t="s">
        <v>84</v>
      </c>
      <c r="DJ84" s="7" t="s">
        <v>208</v>
      </c>
      <c r="DK84" s="7" t="s">
        <v>209</v>
      </c>
      <c r="DL84" s="7" t="s">
        <v>207</v>
      </c>
      <c r="DQ84" s="7" t="s">
        <v>704</v>
      </c>
      <c r="DR84" s="7" t="s">
        <v>702</v>
      </c>
      <c r="EL84" s="822" t="s">
        <v>708</v>
      </c>
      <c r="EM84" s="817" t="s">
        <v>706</v>
      </c>
      <c r="EN84" s="268" t="s">
        <v>1896</v>
      </c>
      <c r="EO84" s="269">
        <v>40</v>
      </c>
      <c r="EP84" s="269">
        <v>100</v>
      </c>
      <c r="EQ84" s="269">
        <v>0</v>
      </c>
      <c r="ER84" s="809">
        <v>100</v>
      </c>
      <c r="ES84" s="809">
        <v>0</v>
      </c>
      <c r="ET84" s="818">
        <v>0</v>
      </c>
    </row>
    <row r="85" spans="1:150" ht="69" customHeight="1" x14ac:dyDescent="0.2">
      <c r="A85" s="271" t="s">
        <v>53</v>
      </c>
      <c r="B85" s="424" t="s">
        <v>54</v>
      </c>
      <c r="C85" s="425" t="s">
        <v>55</v>
      </c>
      <c r="D85" s="425"/>
      <c r="E85" s="8" t="s">
        <v>695</v>
      </c>
      <c r="F85" s="275" t="str">
        <f t="shared" si="26"/>
        <v>E1.P_E</v>
      </c>
      <c r="G85" s="485" t="s">
        <v>116</v>
      </c>
      <c r="H85" s="485" t="s">
        <v>209</v>
      </c>
      <c r="I85" s="438"/>
      <c r="J85" s="278" t="s">
        <v>61</v>
      </c>
      <c r="K85" s="279" t="str">
        <f t="shared" si="27"/>
        <v>E1.P_E.MR1</v>
      </c>
      <c r="L85" s="507" t="s">
        <v>183</v>
      </c>
      <c r="M85" s="508" t="s">
        <v>532</v>
      </c>
      <c r="N85" s="282">
        <v>288</v>
      </c>
      <c r="O85" s="282">
        <v>400</v>
      </c>
      <c r="P85" s="512" t="s">
        <v>112</v>
      </c>
      <c r="Q85" s="522" t="str">
        <f t="shared" si="28"/>
        <v>E1.P_E.MR1-MP04-1</v>
      </c>
      <c r="R85" s="523" t="s">
        <v>710</v>
      </c>
      <c r="S85" s="524" t="s">
        <v>711</v>
      </c>
      <c r="T85" s="525">
        <v>1</v>
      </c>
      <c r="U85" s="526">
        <v>1</v>
      </c>
      <c r="V85" s="525" t="s">
        <v>102</v>
      </c>
      <c r="W85" s="540">
        <v>0.25</v>
      </c>
      <c r="X85" s="541">
        <v>0.25</v>
      </c>
      <c r="Y85" s="540">
        <v>0.25</v>
      </c>
      <c r="Z85" s="542">
        <v>0.25</v>
      </c>
      <c r="AA85" s="531"/>
      <c r="AB85" s="532"/>
      <c r="AC85" s="532"/>
      <c r="AD85" s="532"/>
      <c r="AE85" s="532"/>
      <c r="AF85" s="532"/>
      <c r="AG85" s="532"/>
      <c r="AH85" s="532"/>
      <c r="AI85" s="532"/>
      <c r="AJ85" s="532"/>
      <c r="AK85" s="532"/>
      <c r="AL85" s="532"/>
      <c r="AM85" s="532"/>
      <c r="AN85" s="532"/>
      <c r="AO85" s="532"/>
      <c r="AP85" s="532"/>
      <c r="AQ85" s="532"/>
      <c r="AR85" s="532"/>
      <c r="AS85" s="532"/>
      <c r="AT85" s="532"/>
      <c r="AU85" s="532"/>
      <c r="AV85" s="532"/>
      <c r="AW85" s="532"/>
      <c r="AX85" s="532"/>
      <c r="AY85" s="532"/>
      <c r="AZ85" s="532"/>
      <c r="BA85" s="532"/>
      <c r="BB85" s="532"/>
      <c r="BC85" s="533"/>
      <c r="BD85" s="295" t="s">
        <v>699</v>
      </c>
      <c r="BS85" s="86" t="s">
        <v>182</v>
      </c>
      <c r="BT85" s="86" t="s">
        <v>183</v>
      </c>
      <c r="BU85" s="87" t="s">
        <v>708</v>
      </c>
      <c r="BV85" s="84" t="s">
        <v>706</v>
      </c>
      <c r="DH85" s="7" t="s">
        <v>713</v>
      </c>
      <c r="DI85" s="7" t="s">
        <v>84</v>
      </c>
      <c r="DJ85" s="7" t="s">
        <v>208</v>
      </c>
      <c r="DK85" s="7" t="s">
        <v>209</v>
      </c>
      <c r="DL85" s="7" t="s">
        <v>207</v>
      </c>
      <c r="DQ85" s="7" t="s">
        <v>708</v>
      </c>
      <c r="DR85" s="7" t="s">
        <v>706</v>
      </c>
      <c r="EL85" s="822" t="s">
        <v>712</v>
      </c>
      <c r="EM85" s="817" t="s">
        <v>710</v>
      </c>
      <c r="EN85" s="268" t="s">
        <v>711</v>
      </c>
      <c r="EO85" s="268">
        <v>1</v>
      </c>
      <c r="EP85" s="268">
        <v>1</v>
      </c>
      <c r="EQ85" s="323">
        <v>1</v>
      </c>
      <c r="ER85" s="323">
        <v>1</v>
      </c>
      <c r="ES85" s="323">
        <v>1</v>
      </c>
      <c r="ET85" s="819">
        <v>1</v>
      </c>
    </row>
    <row r="86" spans="1:150" ht="57.75" customHeight="1" thickBot="1" x14ac:dyDescent="0.25">
      <c r="A86" s="271" t="s">
        <v>53</v>
      </c>
      <c r="B86" s="424" t="s">
        <v>54</v>
      </c>
      <c r="C86" s="425" t="s">
        <v>55</v>
      </c>
      <c r="D86" s="425"/>
      <c r="E86" s="8" t="s">
        <v>695</v>
      </c>
      <c r="F86" s="275" t="str">
        <f t="shared" si="26"/>
        <v>E1.P_E</v>
      </c>
      <c r="G86" s="490" t="s">
        <v>116</v>
      </c>
      <c r="H86" s="490" t="s">
        <v>209</v>
      </c>
      <c r="I86" s="442"/>
      <c r="J86" s="335" t="s">
        <v>61</v>
      </c>
      <c r="K86" s="395" t="str">
        <f t="shared" si="27"/>
        <v>E1.P_E.MR1</v>
      </c>
      <c r="L86" s="543" t="s">
        <v>183</v>
      </c>
      <c r="M86" s="544" t="s">
        <v>532</v>
      </c>
      <c r="N86" s="422">
        <v>288</v>
      </c>
      <c r="O86" s="422">
        <v>400</v>
      </c>
      <c r="P86" s="512" t="s">
        <v>122</v>
      </c>
      <c r="Q86" s="545" t="str">
        <f t="shared" si="28"/>
        <v>E1.P_E.MR1-MP05-1</v>
      </c>
      <c r="R86" s="546" t="s">
        <v>714</v>
      </c>
      <c r="S86" s="547" t="s">
        <v>715</v>
      </c>
      <c r="T86" s="548">
        <v>8</v>
      </c>
      <c r="U86" s="549">
        <v>10</v>
      </c>
      <c r="V86" s="548" t="s">
        <v>67</v>
      </c>
      <c r="W86" s="550">
        <v>3</v>
      </c>
      <c r="X86" s="551">
        <v>3</v>
      </c>
      <c r="Y86" s="550">
        <v>2</v>
      </c>
      <c r="Z86" s="552">
        <v>2</v>
      </c>
      <c r="AA86" s="531"/>
      <c r="AB86" s="532"/>
      <c r="AC86" s="532"/>
      <c r="AD86" s="532"/>
      <c r="AE86" s="532"/>
      <c r="AF86" s="532"/>
      <c r="AG86" s="532"/>
      <c r="AH86" s="532"/>
      <c r="AI86" s="532"/>
      <c r="AJ86" s="532"/>
      <c r="AK86" s="532"/>
      <c r="AL86" s="532"/>
      <c r="AM86" s="532"/>
      <c r="AN86" s="532"/>
      <c r="AO86" s="532"/>
      <c r="AP86" s="532"/>
      <c r="AQ86" s="532"/>
      <c r="AR86" s="532"/>
      <c r="AS86" s="532"/>
      <c r="AT86" s="532"/>
      <c r="AU86" s="532"/>
      <c r="AV86" s="532"/>
      <c r="AW86" s="532"/>
      <c r="AX86" s="532"/>
      <c r="AY86" s="532"/>
      <c r="AZ86" s="532"/>
      <c r="BA86" s="532"/>
      <c r="BB86" s="532"/>
      <c r="BC86" s="533"/>
      <c r="BD86" s="295" t="s">
        <v>699</v>
      </c>
      <c r="BS86" s="86" t="s">
        <v>182</v>
      </c>
      <c r="BT86" s="86" t="s">
        <v>183</v>
      </c>
      <c r="BU86" s="87" t="s">
        <v>712</v>
      </c>
      <c r="BV86" s="84" t="s">
        <v>710</v>
      </c>
      <c r="DH86" s="7" t="s">
        <v>717</v>
      </c>
      <c r="DI86" s="7" t="s">
        <v>84</v>
      </c>
      <c r="DJ86" s="7" t="s">
        <v>208</v>
      </c>
      <c r="DK86" s="7" t="s">
        <v>209</v>
      </c>
      <c r="DL86" s="7" t="s">
        <v>207</v>
      </c>
      <c r="DQ86" s="7" t="s">
        <v>712</v>
      </c>
      <c r="DR86" s="7" t="s">
        <v>710</v>
      </c>
      <c r="EL86" s="822" t="s">
        <v>716</v>
      </c>
      <c r="EM86" s="817" t="s">
        <v>714</v>
      </c>
      <c r="EN86" s="268" t="s">
        <v>715</v>
      </c>
      <c r="EO86" s="268">
        <v>8</v>
      </c>
      <c r="EP86" s="268">
        <v>10</v>
      </c>
      <c r="EQ86" s="269">
        <v>3</v>
      </c>
      <c r="ER86" s="808">
        <v>2</v>
      </c>
      <c r="ES86" s="808">
        <v>3</v>
      </c>
      <c r="ET86" s="820">
        <v>2</v>
      </c>
    </row>
    <row r="87" spans="1:150" ht="139.5" customHeight="1" x14ac:dyDescent="0.2">
      <c r="A87" s="271" t="s">
        <v>53</v>
      </c>
      <c r="B87" s="424" t="s">
        <v>54</v>
      </c>
      <c r="C87" s="425" t="s">
        <v>55</v>
      </c>
      <c r="D87" s="426" t="s">
        <v>694</v>
      </c>
      <c r="E87" s="3" t="s">
        <v>718</v>
      </c>
      <c r="F87" s="427" t="str">
        <f t="shared" si="26"/>
        <v>E1.P_F</v>
      </c>
      <c r="G87" s="428" t="s">
        <v>126</v>
      </c>
      <c r="H87" s="473" t="s">
        <v>224</v>
      </c>
      <c r="I87" s="449" t="s">
        <v>719</v>
      </c>
      <c r="J87" s="450" t="s">
        <v>61</v>
      </c>
      <c r="K87" s="451" t="str">
        <f t="shared" si="27"/>
        <v>E1.P_F.MR1</v>
      </c>
      <c r="L87" s="355" t="s">
        <v>194</v>
      </c>
      <c r="M87" s="356" t="s">
        <v>720</v>
      </c>
      <c r="N87" s="357">
        <v>1</v>
      </c>
      <c r="O87" s="241">
        <v>4</v>
      </c>
      <c r="P87" s="371" t="s">
        <v>64</v>
      </c>
      <c r="Q87" s="360" t="str">
        <f t="shared" si="28"/>
        <v>E1.P_F.MR1-MP01-1</v>
      </c>
      <c r="R87" s="412" t="s">
        <v>721</v>
      </c>
      <c r="S87" s="362" t="s">
        <v>722</v>
      </c>
      <c r="T87" s="363">
        <v>0</v>
      </c>
      <c r="U87" s="364">
        <v>2</v>
      </c>
      <c r="V87" s="363" t="s">
        <v>67</v>
      </c>
      <c r="W87" s="249">
        <v>0</v>
      </c>
      <c r="X87" s="365">
        <v>0</v>
      </c>
      <c r="Y87" s="249">
        <v>1</v>
      </c>
      <c r="Z87" s="366">
        <v>0</v>
      </c>
      <c r="AA87" s="432">
        <f>842628725+455000000+91274910+470084400+121736000+14277900+792806407+43072995+54590+61600-1000888865-264000000</f>
        <v>1566108662</v>
      </c>
      <c r="AB87" s="433">
        <f>1295389438+89172574</f>
        <v>1384562012</v>
      </c>
      <c r="AC87" s="433">
        <v>0</v>
      </c>
      <c r="AD87" s="433"/>
      <c r="AE87" s="433"/>
      <c r="AF87" s="433">
        <f>14467695+95861631</f>
        <v>110329326</v>
      </c>
      <c r="AG87" s="433">
        <f t="shared" ref="AG87" si="35">SUM(AA87:AF87)</f>
        <v>3061000000</v>
      </c>
      <c r="AH87" s="433">
        <f t="shared" ref="AH87:AT87" si="36">+AA87</f>
        <v>1566108662</v>
      </c>
      <c r="AI87" s="433">
        <f t="shared" si="36"/>
        <v>1384562012</v>
      </c>
      <c r="AJ87" s="433">
        <f t="shared" si="36"/>
        <v>0</v>
      </c>
      <c r="AK87" s="433">
        <f t="shared" si="36"/>
        <v>0</v>
      </c>
      <c r="AL87" s="433">
        <f t="shared" si="36"/>
        <v>0</v>
      </c>
      <c r="AM87" s="433">
        <f t="shared" si="36"/>
        <v>110329326</v>
      </c>
      <c r="AN87" s="433">
        <f t="shared" si="36"/>
        <v>3061000000</v>
      </c>
      <c r="AO87" s="433">
        <f t="shared" si="36"/>
        <v>1566108662</v>
      </c>
      <c r="AP87" s="433">
        <f t="shared" si="36"/>
        <v>1384562012</v>
      </c>
      <c r="AQ87" s="433">
        <f t="shared" si="36"/>
        <v>0</v>
      </c>
      <c r="AR87" s="433">
        <f t="shared" si="36"/>
        <v>0</v>
      </c>
      <c r="AS87" s="433">
        <f t="shared" si="36"/>
        <v>0</v>
      </c>
      <c r="AT87" s="433">
        <f t="shared" si="36"/>
        <v>110329326</v>
      </c>
      <c r="AU87" s="433">
        <f t="shared" ref="AU87" si="37">SUM(AO87:AT87)</f>
        <v>3061000000</v>
      </c>
      <c r="AV87" s="433">
        <f t="shared" ref="AV87:BA87" si="38">+AO87</f>
        <v>1566108662</v>
      </c>
      <c r="AW87" s="433">
        <f t="shared" si="38"/>
        <v>1384562012</v>
      </c>
      <c r="AX87" s="433">
        <f t="shared" si="38"/>
        <v>0</v>
      </c>
      <c r="AY87" s="433">
        <f t="shared" si="38"/>
        <v>0</v>
      </c>
      <c r="AZ87" s="433">
        <f t="shared" si="38"/>
        <v>0</v>
      </c>
      <c r="BA87" s="433">
        <f t="shared" si="38"/>
        <v>110329326</v>
      </c>
      <c r="BB87" s="433">
        <f t="shared" ref="BB87" si="39">SUM(AV87:BA87)</f>
        <v>3061000000</v>
      </c>
      <c r="BC87" s="434">
        <f t="shared" ref="BC87" si="40">+BB87+AU87+AN87+AG87</f>
        <v>12244000000</v>
      </c>
      <c r="BD87" s="295" t="s">
        <v>699</v>
      </c>
      <c r="BS87" s="86" t="s">
        <v>182</v>
      </c>
      <c r="BT87" s="86" t="s">
        <v>183</v>
      </c>
      <c r="BU87" s="87" t="s">
        <v>716</v>
      </c>
      <c r="BV87" s="84" t="s">
        <v>714</v>
      </c>
      <c r="DH87" s="7" t="s">
        <v>724</v>
      </c>
      <c r="DI87" s="7" t="s">
        <v>84</v>
      </c>
      <c r="DJ87" s="7" t="s">
        <v>208</v>
      </c>
      <c r="DK87" s="7" t="s">
        <v>209</v>
      </c>
      <c r="DL87" s="7" t="s">
        <v>207</v>
      </c>
      <c r="DQ87" s="7" t="s">
        <v>716</v>
      </c>
      <c r="DR87" s="7" t="s">
        <v>714</v>
      </c>
      <c r="EL87" s="822" t="s">
        <v>723</v>
      </c>
      <c r="EM87" s="312" t="s">
        <v>721</v>
      </c>
      <c r="EN87" s="268" t="s">
        <v>722</v>
      </c>
      <c r="EO87" s="268">
        <v>0</v>
      </c>
      <c r="EP87" s="268">
        <v>2</v>
      </c>
      <c r="EQ87" s="803">
        <v>0</v>
      </c>
      <c r="ER87" s="808">
        <v>0</v>
      </c>
      <c r="ES87" s="803">
        <v>1</v>
      </c>
      <c r="ET87" s="824">
        <v>1</v>
      </c>
    </row>
    <row r="88" spans="1:150" ht="48" customHeight="1" x14ac:dyDescent="0.2">
      <c r="A88" s="271" t="s">
        <v>53</v>
      </c>
      <c r="B88" s="553" t="s">
        <v>54</v>
      </c>
      <c r="C88" s="274" t="s">
        <v>55</v>
      </c>
      <c r="D88" s="274"/>
      <c r="E88" s="8" t="s">
        <v>718</v>
      </c>
      <c r="F88" s="275" t="str">
        <f t="shared" si="26"/>
        <v>E1.P_F</v>
      </c>
      <c r="G88" s="554" t="s">
        <v>126</v>
      </c>
      <c r="H88" s="554" t="s">
        <v>224</v>
      </c>
      <c r="I88" s="452"/>
      <c r="J88" s="453" t="s">
        <v>61</v>
      </c>
      <c r="K88" s="368" t="str">
        <f t="shared" si="27"/>
        <v>E1.P_F.MR1</v>
      </c>
      <c r="L88" s="507" t="s">
        <v>194</v>
      </c>
      <c r="M88" s="508" t="s">
        <v>720</v>
      </c>
      <c r="N88" s="369">
        <v>1</v>
      </c>
      <c r="O88" s="282">
        <v>4</v>
      </c>
      <c r="P88" s="371" t="s">
        <v>87</v>
      </c>
      <c r="Q88" s="372" t="str">
        <f t="shared" si="28"/>
        <v>E1.P_F.MR1-MP02-1</v>
      </c>
      <c r="R88" s="416" t="s">
        <v>725</v>
      </c>
      <c r="S88" s="308" t="s">
        <v>726</v>
      </c>
      <c r="T88" s="287">
        <v>0</v>
      </c>
      <c r="U88" s="288">
        <v>3</v>
      </c>
      <c r="V88" s="287" t="s">
        <v>67</v>
      </c>
      <c r="W88" s="289">
        <v>0</v>
      </c>
      <c r="X88" s="290">
        <v>2</v>
      </c>
      <c r="Y88" s="289">
        <v>1</v>
      </c>
      <c r="Z88" s="291">
        <v>0</v>
      </c>
      <c r="AA88" s="292"/>
      <c r="AB88" s="293"/>
      <c r="AC88" s="293"/>
      <c r="AD88" s="293"/>
      <c r="AE88" s="293"/>
      <c r="AF88" s="293"/>
      <c r="AG88" s="293"/>
      <c r="AH88" s="293"/>
      <c r="AI88" s="293"/>
      <c r="AJ88" s="293"/>
      <c r="AK88" s="293"/>
      <c r="AL88" s="293"/>
      <c r="AM88" s="293"/>
      <c r="AN88" s="293"/>
      <c r="AO88" s="293"/>
      <c r="AP88" s="293"/>
      <c r="AQ88" s="293"/>
      <c r="AR88" s="293"/>
      <c r="AS88" s="293"/>
      <c r="AT88" s="293"/>
      <c r="AU88" s="293"/>
      <c r="AV88" s="293"/>
      <c r="AW88" s="293"/>
      <c r="AX88" s="293"/>
      <c r="AY88" s="293"/>
      <c r="AZ88" s="293"/>
      <c r="BA88" s="293"/>
      <c r="BB88" s="293"/>
      <c r="BC88" s="294"/>
      <c r="BD88" s="295" t="s">
        <v>699</v>
      </c>
      <c r="BS88" s="84" t="s">
        <v>193</v>
      </c>
      <c r="BT88" s="84" t="s">
        <v>194</v>
      </c>
      <c r="BU88" s="87" t="s">
        <v>723</v>
      </c>
      <c r="BV88" s="84" t="s">
        <v>721</v>
      </c>
      <c r="DH88" s="7" t="s">
        <v>728</v>
      </c>
      <c r="DI88" s="7" t="s">
        <v>84</v>
      </c>
      <c r="DJ88" s="7" t="s">
        <v>223</v>
      </c>
      <c r="DK88" s="7" t="s">
        <v>224</v>
      </c>
      <c r="DL88" s="7" t="s">
        <v>222</v>
      </c>
      <c r="DQ88" s="7" t="s">
        <v>723</v>
      </c>
      <c r="DR88" s="7" t="s">
        <v>721</v>
      </c>
      <c r="EL88" s="822" t="s">
        <v>727</v>
      </c>
      <c r="EM88" s="312" t="s">
        <v>725</v>
      </c>
      <c r="EN88" s="268" t="s">
        <v>726</v>
      </c>
      <c r="EO88" s="268">
        <v>0</v>
      </c>
      <c r="EP88" s="268">
        <v>3</v>
      </c>
      <c r="EQ88" s="269">
        <v>0</v>
      </c>
      <c r="ER88" s="269">
        <v>2</v>
      </c>
      <c r="ES88" s="269">
        <v>1</v>
      </c>
      <c r="ET88" s="820">
        <v>0</v>
      </c>
    </row>
    <row r="89" spans="1:150" ht="54" customHeight="1" x14ac:dyDescent="0.2">
      <c r="A89" s="271" t="s">
        <v>53</v>
      </c>
      <c r="B89" s="553" t="s">
        <v>54</v>
      </c>
      <c r="C89" s="274" t="s">
        <v>55</v>
      </c>
      <c r="D89" s="274"/>
      <c r="E89" s="8" t="s">
        <v>718</v>
      </c>
      <c r="F89" s="275" t="str">
        <f t="shared" si="26"/>
        <v>E1.P_F</v>
      </c>
      <c r="G89" s="554" t="s">
        <v>126</v>
      </c>
      <c r="H89" s="554" t="s">
        <v>224</v>
      </c>
      <c r="I89" s="452"/>
      <c r="J89" s="453" t="s">
        <v>61</v>
      </c>
      <c r="K89" s="368" t="str">
        <f t="shared" si="27"/>
        <v>E1.P_F.MR1</v>
      </c>
      <c r="L89" s="507" t="s">
        <v>194</v>
      </c>
      <c r="M89" s="508" t="s">
        <v>720</v>
      </c>
      <c r="N89" s="369">
        <v>1</v>
      </c>
      <c r="O89" s="282">
        <v>4</v>
      </c>
      <c r="P89" s="371" t="s">
        <v>99</v>
      </c>
      <c r="Q89" s="372" t="str">
        <f t="shared" si="28"/>
        <v>E1.P_F.MR1-MP03-1</v>
      </c>
      <c r="R89" s="416" t="s">
        <v>729</v>
      </c>
      <c r="S89" s="308" t="s">
        <v>730</v>
      </c>
      <c r="T89" s="313">
        <v>0.7</v>
      </c>
      <c r="U89" s="314">
        <v>1</v>
      </c>
      <c r="V89" s="313" t="s">
        <v>67</v>
      </c>
      <c r="W89" s="309">
        <v>0.3</v>
      </c>
      <c r="X89" s="290">
        <v>0</v>
      </c>
      <c r="Y89" s="289">
        <v>0</v>
      </c>
      <c r="Z89" s="291">
        <v>0</v>
      </c>
      <c r="AA89" s="318"/>
      <c r="AB89" s="319"/>
      <c r="AC89" s="319"/>
      <c r="AD89" s="319"/>
      <c r="AE89" s="319"/>
      <c r="AF89" s="319"/>
      <c r="AG89" s="319"/>
      <c r="AH89" s="319"/>
      <c r="AI89" s="319"/>
      <c r="AJ89" s="319"/>
      <c r="AK89" s="319"/>
      <c r="AL89" s="319"/>
      <c r="AM89" s="319"/>
      <c r="AN89" s="319"/>
      <c r="AO89" s="319"/>
      <c r="AP89" s="319"/>
      <c r="AQ89" s="319"/>
      <c r="AR89" s="319"/>
      <c r="AS89" s="319"/>
      <c r="AT89" s="319"/>
      <c r="AU89" s="319"/>
      <c r="AV89" s="319"/>
      <c r="AW89" s="319"/>
      <c r="AX89" s="319"/>
      <c r="AY89" s="319"/>
      <c r="AZ89" s="319"/>
      <c r="BA89" s="319"/>
      <c r="BB89" s="319"/>
      <c r="BC89" s="320"/>
      <c r="BD89" s="295" t="s">
        <v>699</v>
      </c>
      <c r="BS89" s="86" t="s">
        <v>193</v>
      </c>
      <c r="BT89" s="86" t="s">
        <v>194</v>
      </c>
      <c r="BU89" s="87" t="s">
        <v>727</v>
      </c>
      <c r="BV89" s="84" t="s">
        <v>725</v>
      </c>
      <c r="DH89" s="7" t="s">
        <v>732</v>
      </c>
      <c r="DI89" s="7" t="s">
        <v>84</v>
      </c>
      <c r="DJ89" s="7" t="s">
        <v>223</v>
      </c>
      <c r="DK89" s="7" t="s">
        <v>224</v>
      </c>
      <c r="DL89" s="7" t="s">
        <v>222</v>
      </c>
      <c r="DQ89" s="7" t="s">
        <v>727</v>
      </c>
      <c r="DR89" s="7" t="s">
        <v>725</v>
      </c>
      <c r="EL89" s="822" t="s">
        <v>731</v>
      </c>
      <c r="EM89" s="312" t="s">
        <v>729</v>
      </c>
      <c r="EN89" s="268" t="s">
        <v>1897</v>
      </c>
      <c r="EO89" s="802">
        <v>70</v>
      </c>
      <c r="EP89" s="802">
        <v>100</v>
      </c>
      <c r="EQ89" s="802">
        <v>30</v>
      </c>
      <c r="ER89" s="808">
        <v>25</v>
      </c>
      <c r="ES89" s="808">
        <v>25</v>
      </c>
      <c r="ET89" s="824">
        <v>20</v>
      </c>
    </row>
    <row r="90" spans="1:150" ht="48.75" customHeight="1" thickBot="1" x14ac:dyDescent="0.25">
      <c r="A90" s="271" t="s">
        <v>53</v>
      </c>
      <c r="B90" s="553" t="s">
        <v>54</v>
      </c>
      <c r="C90" s="274" t="s">
        <v>55</v>
      </c>
      <c r="D90" s="274"/>
      <c r="E90" s="8" t="s">
        <v>718</v>
      </c>
      <c r="F90" s="275" t="str">
        <f t="shared" si="26"/>
        <v>E1.P_F</v>
      </c>
      <c r="G90" s="554" t="s">
        <v>126</v>
      </c>
      <c r="H90" s="554" t="s">
        <v>224</v>
      </c>
      <c r="I90" s="458"/>
      <c r="J90" s="459" t="s">
        <v>61</v>
      </c>
      <c r="K90" s="460" t="str">
        <f t="shared" si="27"/>
        <v>E1.P_F.MR1</v>
      </c>
      <c r="L90" s="543" t="s">
        <v>194</v>
      </c>
      <c r="M90" s="544" t="s">
        <v>720</v>
      </c>
      <c r="N90" s="383">
        <v>1</v>
      </c>
      <c r="O90" s="422">
        <v>4</v>
      </c>
      <c r="P90" s="371" t="s">
        <v>112</v>
      </c>
      <c r="Q90" s="386" t="str">
        <f t="shared" si="28"/>
        <v>E1.P_F.MR1-MP04-1</v>
      </c>
      <c r="R90" s="471" t="s">
        <v>733</v>
      </c>
      <c r="S90" s="331" t="s">
        <v>734</v>
      </c>
      <c r="T90" s="555">
        <v>0.9</v>
      </c>
      <c r="U90" s="556">
        <v>1</v>
      </c>
      <c r="V90" s="555" t="s">
        <v>67</v>
      </c>
      <c r="W90" s="397">
        <v>0.1</v>
      </c>
      <c r="X90" s="348">
        <v>0</v>
      </c>
      <c r="Y90" s="347">
        <v>0</v>
      </c>
      <c r="Z90" s="349">
        <v>0</v>
      </c>
      <c r="AA90" s="318"/>
      <c r="AB90" s="319"/>
      <c r="AC90" s="319"/>
      <c r="AD90" s="319"/>
      <c r="AE90" s="319"/>
      <c r="AF90" s="319"/>
      <c r="AG90" s="319"/>
      <c r="AH90" s="319"/>
      <c r="AI90" s="319"/>
      <c r="AJ90" s="319"/>
      <c r="AK90" s="319"/>
      <c r="AL90" s="319"/>
      <c r="AM90" s="319"/>
      <c r="AN90" s="319"/>
      <c r="AO90" s="319"/>
      <c r="AP90" s="319"/>
      <c r="AQ90" s="319"/>
      <c r="AR90" s="319"/>
      <c r="AS90" s="319"/>
      <c r="AT90" s="319"/>
      <c r="AU90" s="319"/>
      <c r="AV90" s="319"/>
      <c r="AW90" s="319"/>
      <c r="AX90" s="319"/>
      <c r="AY90" s="319"/>
      <c r="AZ90" s="319"/>
      <c r="BA90" s="319"/>
      <c r="BB90" s="319"/>
      <c r="BC90" s="320"/>
      <c r="BD90" s="295" t="s">
        <v>699</v>
      </c>
      <c r="BS90" s="86" t="s">
        <v>193</v>
      </c>
      <c r="BT90" s="86" t="s">
        <v>194</v>
      </c>
      <c r="BU90" s="87" t="s">
        <v>731</v>
      </c>
      <c r="BV90" s="84" t="s">
        <v>729</v>
      </c>
      <c r="DH90" s="7" t="s">
        <v>736</v>
      </c>
      <c r="DI90" s="7" t="s">
        <v>84</v>
      </c>
      <c r="DJ90" s="7" t="s">
        <v>223</v>
      </c>
      <c r="DK90" s="7" t="s">
        <v>224</v>
      </c>
      <c r="DL90" s="7" t="s">
        <v>222</v>
      </c>
      <c r="DQ90" s="7" t="s">
        <v>731</v>
      </c>
      <c r="DR90" s="7" t="s">
        <v>729</v>
      </c>
      <c r="EL90" s="822" t="s">
        <v>735</v>
      </c>
      <c r="EM90" s="312" t="s">
        <v>733</v>
      </c>
      <c r="EN90" s="268" t="s">
        <v>1898</v>
      </c>
      <c r="EO90" s="802">
        <v>90</v>
      </c>
      <c r="EP90" s="802">
        <v>100</v>
      </c>
      <c r="EQ90" s="802">
        <v>10</v>
      </c>
      <c r="ER90" s="808">
        <v>90</v>
      </c>
      <c r="ES90" s="803">
        <v>0</v>
      </c>
      <c r="ET90" s="830">
        <v>0</v>
      </c>
    </row>
    <row r="91" spans="1:150" ht="134.25" customHeight="1" x14ac:dyDescent="0.2">
      <c r="A91" s="271" t="s">
        <v>53</v>
      </c>
      <c r="B91" s="424" t="s">
        <v>54</v>
      </c>
      <c r="C91" s="425" t="s">
        <v>55</v>
      </c>
      <c r="D91" s="425"/>
      <c r="E91" s="8" t="s">
        <v>718</v>
      </c>
      <c r="F91" s="275" t="str">
        <f t="shared" si="26"/>
        <v>E1.P_F</v>
      </c>
      <c r="G91" s="448" t="s">
        <v>126</v>
      </c>
      <c r="H91" s="448" t="s">
        <v>224</v>
      </c>
      <c r="I91" s="449" t="s">
        <v>737</v>
      </c>
      <c r="J91" s="450" t="s">
        <v>167</v>
      </c>
      <c r="K91" s="451" t="str">
        <f t="shared" si="27"/>
        <v>E1.P_F.MR2</v>
      </c>
      <c r="L91" s="355" t="s">
        <v>205</v>
      </c>
      <c r="M91" s="356" t="s">
        <v>532</v>
      </c>
      <c r="N91" s="357">
        <v>2598</v>
      </c>
      <c r="O91" s="241">
        <v>3100</v>
      </c>
      <c r="P91" s="371" t="s">
        <v>64</v>
      </c>
      <c r="Q91" s="360" t="str">
        <f t="shared" si="28"/>
        <v>E1.P_F.MR2-MP01-1</v>
      </c>
      <c r="R91" s="412" t="s">
        <v>738</v>
      </c>
      <c r="S91" s="362" t="s">
        <v>739</v>
      </c>
      <c r="T91" s="363">
        <v>1</v>
      </c>
      <c r="U91" s="364">
        <v>1</v>
      </c>
      <c r="V91" s="363" t="s">
        <v>102</v>
      </c>
      <c r="W91" s="557">
        <v>0.25</v>
      </c>
      <c r="X91" s="558">
        <v>0.25</v>
      </c>
      <c r="Y91" s="557">
        <v>0.25</v>
      </c>
      <c r="Z91" s="559">
        <v>0.25</v>
      </c>
      <c r="AA91" s="292"/>
      <c r="AB91" s="293"/>
      <c r="AC91" s="293"/>
      <c r="AD91" s="293"/>
      <c r="AE91" s="293"/>
      <c r="AF91" s="293"/>
      <c r="AG91" s="293"/>
      <c r="AH91" s="293"/>
      <c r="AI91" s="293"/>
      <c r="AJ91" s="293"/>
      <c r="AK91" s="293"/>
      <c r="AL91" s="293"/>
      <c r="AM91" s="293"/>
      <c r="AN91" s="293"/>
      <c r="AO91" s="293"/>
      <c r="AP91" s="293"/>
      <c r="AQ91" s="293"/>
      <c r="AR91" s="293"/>
      <c r="AS91" s="293"/>
      <c r="AT91" s="293"/>
      <c r="AU91" s="293"/>
      <c r="AV91" s="293"/>
      <c r="AW91" s="293"/>
      <c r="AX91" s="293"/>
      <c r="AY91" s="293"/>
      <c r="AZ91" s="293"/>
      <c r="BA91" s="293"/>
      <c r="BB91" s="293"/>
      <c r="BC91" s="294"/>
      <c r="BD91" s="295" t="s">
        <v>699</v>
      </c>
      <c r="BS91" s="86" t="s">
        <v>193</v>
      </c>
      <c r="BT91" s="86" t="s">
        <v>194</v>
      </c>
      <c r="BU91" s="87" t="s">
        <v>735</v>
      </c>
      <c r="BV91" s="84" t="s">
        <v>733</v>
      </c>
      <c r="DH91" s="7" t="s">
        <v>741</v>
      </c>
      <c r="DI91" s="7" t="s">
        <v>84</v>
      </c>
      <c r="DJ91" s="7" t="s">
        <v>223</v>
      </c>
      <c r="DK91" s="7" t="s">
        <v>224</v>
      </c>
      <c r="DL91" s="7" t="s">
        <v>222</v>
      </c>
      <c r="DQ91" s="7" t="s">
        <v>735</v>
      </c>
      <c r="DR91" s="7" t="s">
        <v>733</v>
      </c>
      <c r="EL91" s="822" t="s">
        <v>740</v>
      </c>
      <c r="EM91" s="312" t="s">
        <v>738</v>
      </c>
      <c r="EN91" s="268" t="s">
        <v>739</v>
      </c>
      <c r="EO91" s="268">
        <v>1</v>
      </c>
      <c r="EP91" s="268">
        <v>1</v>
      </c>
      <c r="EQ91" s="323">
        <v>1</v>
      </c>
      <c r="ER91" s="323">
        <v>1</v>
      </c>
      <c r="ES91" s="323">
        <v>1</v>
      </c>
      <c r="ET91" s="819">
        <v>1</v>
      </c>
    </row>
    <row r="92" spans="1:150" ht="61.5" customHeight="1" x14ac:dyDescent="0.2">
      <c r="A92" s="271" t="s">
        <v>53</v>
      </c>
      <c r="B92" s="424" t="s">
        <v>54</v>
      </c>
      <c r="C92" s="425" t="s">
        <v>55</v>
      </c>
      <c r="D92" s="425"/>
      <c r="E92" s="8" t="s">
        <v>718</v>
      </c>
      <c r="F92" s="275" t="str">
        <f t="shared" si="26"/>
        <v>E1.P_F</v>
      </c>
      <c r="G92" s="448" t="s">
        <v>126</v>
      </c>
      <c r="H92" s="448" t="s">
        <v>224</v>
      </c>
      <c r="I92" s="452"/>
      <c r="J92" s="453" t="s">
        <v>167</v>
      </c>
      <c r="K92" s="368" t="str">
        <f t="shared" si="27"/>
        <v>E1.P_F.MR2</v>
      </c>
      <c r="L92" s="507" t="s">
        <v>205</v>
      </c>
      <c r="M92" s="508" t="s">
        <v>532</v>
      </c>
      <c r="N92" s="369">
        <v>2598</v>
      </c>
      <c r="O92" s="282">
        <v>3100</v>
      </c>
      <c r="P92" s="371" t="s">
        <v>87</v>
      </c>
      <c r="Q92" s="372" t="str">
        <f t="shared" si="28"/>
        <v>E1.P_F.MR2-MP02-1</v>
      </c>
      <c r="R92" s="416" t="s">
        <v>742</v>
      </c>
      <c r="S92" s="308" t="s">
        <v>433</v>
      </c>
      <c r="T92" s="287">
        <v>3</v>
      </c>
      <c r="U92" s="288">
        <v>3</v>
      </c>
      <c r="V92" s="287" t="s">
        <v>102</v>
      </c>
      <c r="W92" s="309">
        <v>0.5</v>
      </c>
      <c r="X92" s="324">
        <v>0.5</v>
      </c>
      <c r="Y92" s="289">
        <v>1</v>
      </c>
      <c r="Z92" s="291">
        <v>1</v>
      </c>
      <c r="AA92" s="292"/>
      <c r="AB92" s="293"/>
      <c r="AC92" s="293"/>
      <c r="AD92" s="293"/>
      <c r="AE92" s="293"/>
      <c r="AF92" s="293"/>
      <c r="AG92" s="293"/>
      <c r="AH92" s="293"/>
      <c r="AI92" s="293"/>
      <c r="AJ92" s="293"/>
      <c r="AK92" s="293"/>
      <c r="AL92" s="293"/>
      <c r="AM92" s="293"/>
      <c r="AN92" s="293"/>
      <c r="AO92" s="293"/>
      <c r="AP92" s="293"/>
      <c r="AQ92" s="293"/>
      <c r="AR92" s="293"/>
      <c r="AS92" s="293"/>
      <c r="AT92" s="293"/>
      <c r="AU92" s="293"/>
      <c r="AV92" s="293"/>
      <c r="AW92" s="293"/>
      <c r="AX92" s="293"/>
      <c r="AY92" s="293"/>
      <c r="AZ92" s="293"/>
      <c r="BA92" s="293"/>
      <c r="BB92" s="293"/>
      <c r="BC92" s="294"/>
      <c r="BD92" s="295" t="s">
        <v>699</v>
      </c>
      <c r="BS92" s="84" t="s">
        <v>204</v>
      </c>
      <c r="BT92" s="84" t="s">
        <v>205</v>
      </c>
      <c r="BU92" s="87" t="s">
        <v>740</v>
      </c>
      <c r="BV92" s="84" t="s">
        <v>738</v>
      </c>
      <c r="DH92" s="7" t="s">
        <v>744</v>
      </c>
      <c r="DI92" s="7" t="s">
        <v>84</v>
      </c>
      <c r="DJ92" s="7" t="s">
        <v>223</v>
      </c>
      <c r="DK92" s="7" t="s">
        <v>224</v>
      </c>
      <c r="DL92" s="7" t="s">
        <v>234</v>
      </c>
      <c r="DQ92" s="7" t="s">
        <v>740</v>
      </c>
      <c r="DR92" s="7" t="s">
        <v>738</v>
      </c>
      <c r="EL92" s="822" t="s">
        <v>743</v>
      </c>
      <c r="EM92" s="312" t="s">
        <v>742</v>
      </c>
      <c r="EN92" s="268" t="s">
        <v>433</v>
      </c>
      <c r="EO92" s="268">
        <v>3</v>
      </c>
      <c r="EP92" s="268">
        <v>3</v>
      </c>
      <c r="EQ92" s="270">
        <v>3</v>
      </c>
      <c r="ER92" s="270">
        <v>3</v>
      </c>
      <c r="ES92" s="269">
        <v>3</v>
      </c>
      <c r="ET92" s="820">
        <v>3</v>
      </c>
    </row>
    <row r="93" spans="1:150" ht="43.5" customHeight="1" x14ac:dyDescent="0.2">
      <c r="A93" s="271" t="s">
        <v>53</v>
      </c>
      <c r="B93" s="424" t="s">
        <v>54</v>
      </c>
      <c r="C93" s="425" t="s">
        <v>55</v>
      </c>
      <c r="D93" s="425"/>
      <c r="E93" s="8" t="s">
        <v>718</v>
      </c>
      <c r="F93" s="275" t="str">
        <f t="shared" si="26"/>
        <v>E1.P_F</v>
      </c>
      <c r="G93" s="448" t="s">
        <v>126</v>
      </c>
      <c r="H93" s="448" t="s">
        <v>224</v>
      </c>
      <c r="I93" s="452"/>
      <c r="J93" s="453" t="s">
        <v>167</v>
      </c>
      <c r="K93" s="368" t="str">
        <f t="shared" si="27"/>
        <v>E1.P_F.MR2</v>
      </c>
      <c r="L93" s="507" t="s">
        <v>205</v>
      </c>
      <c r="M93" s="508" t="s">
        <v>532</v>
      </c>
      <c r="N93" s="369">
        <v>2598</v>
      </c>
      <c r="O93" s="282">
        <v>3100</v>
      </c>
      <c r="P93" s="371" t="s">
        <v>99</v>
      </c>
      <c r="Q93" s="372" t="str">
        <f t="shared" si="28"/>
        <v>E1.P_F.MR2-MP03-1</v>
      </c>
      <c r="R93" s="416" t="s">
        <v>745</v>
      </c>
      <c r="S93" s="308" t="s">
        <v>746</v>
      </c>
      <c r="T93" s="287">
        <v>1</v>
      </c>
      <c r="U93" s="288">
        <v>1</v>
      </c>
      <c r="V93" s="287" t="s">
        <v>102</v>
      </c>
      <c r="W93" s="315">
        <v>0.25</v>
      </c>
      <c r="X93" s="316">
        <v>0.25</v>
      </c>
      <c r="Y93" s="315">
        <v>0.25</v>
      </c>
      <c r="Z93" s="317">
        <v>0.25</v>
      </c>
      <c r="AA93" s="292"/>
      <c r="AB93" s="293"/>
      <c r="AC93" s="293"/>
      <c r="AD93" s="293"/>
      <c r="AE93" s="293"/>
      <c r="AF93" s="293"/>
      <c r="AG93" s="293"/>
      <c r="AH93" s="293"/>
      <c r="AI93" s="293"/>
      <c r="AJ93" s="293"/>
      <c r="AK93" s="293"/>
      <c r="AL93" s="293"/>
      <c r="AM93" s="293"/>
      <c r="AN93" s="293"/>
      <c r="AO93" s="293"/>
      <c r="AP93" s="293"/>
      <c r="AQ93" s="293"/>
      <c r="AR93" s="293"/>
      <c r="AS93" s="293"/>
      <c r="AT93" s="293"/>
      <c r="AU93" s="293"/>
      <c r="AV93" s="293"/>
      <c r="AW93" s="293"/>
      <c r="AX93" s="293"/>
      <c r="AY93" s="293"/>
      <c r="AZ93" s="293"/>
      <c r="BA93" s="293"/>
      <c r="BB93" s="293"/>
      <c r="BC93" s="294"/>
      <c r="BD93" s="295" t="s">
        <v>699</v>
      </c>
      <c r="BS93" s="86" t="s">
        <v>204</v>
      </c>
      <c r="BT93" s="86" t="s">
        <v>205</v>
      </c>
      <c r="BU93" s="87" t="s">
        <v>743</v>
      </c>
      <c r="BV93" s="84" t="s">
        <v>742</v>
      </c>
      <c r="DH93" s="7" t="s">
        <v>748</v>
      </c>
      <c r="DI93" s="7" t="s">
        <v>84</v>
      </c>
      <c r="DJ93" s="7" t="s">
        <v>223</v>
      </c>
      <c r="DK93" s="7" t="s">
        <v>224</v>
      </c>
      <c r="DL93" s="7" t="s">
        <v>234</v>
      </c>
      <c r="DQ93" s="7" t="s">
        <v>743</v>
      </c>
      <c r="DR93" s="7" t="s">
        <v>742</v>
      </c>
      <c r="EL93" s="822" t="s">
        <v>747</v>
      </c>
      <c r="EM93" s="312" t="s">
        <v>745</v>
      </c>
      <c r="EN93" s="268" t="s">
        <v>746</v>
      </c>
      <c r="EO93" s="268">
        <v>1</v>
      </c>
      <c r="EP93" s="268">
        <v>1</v>
      </c>
      <c r="EQ93" s="323">
        <v>1</v>
      </c>
      <c r="ER93" s="323">
        <v>1</v>
      </c>
      <c r="ES93" s="323">
        <v>1</v>
      </c>
      <c r="ET93" s="819">
        <v>1</v>
      </c>
    </row>
    <row r="94" spans="1:150" ht="48" customHeight="1" thickBot="1" x14ac:dyDescent="0.25">
      <c r="A94" s="271" t="s">
        <v>53</v>
      </c>
      <c r="B94" s="424" t="s">
        <v>54</v>
      </c>
      <c r="C94" s="425" t="s">
        <v>55</v>
      </c>
      <c r="D94" s="425"/>
      <c r="E94" s="8" t="s">
        <v>718</v>
      </c>
      <c r="F94" s="275" t="str">
        <f t="shared" si="26"/>
        <v>E1.P_F</v>
      </c>
      <c r="G94" s="560" t="s">
        <v>126</v>
      </c>
      <c r="H94" s="560" t="s">
        <v>224</v>
      </c>
      <c r="I94" s="458"/>
      <c r="J94" s="453" t="s">
        <v>167</v>
      </c>
      <c r="K94" s="368" t="str">
        <f t="shared" si="27"/>
        <v>E1.P_F.MR2</v>
      </c>
      <c r="L94" s="507" t="s">
        <v>205</v>
      </c>
      <c r="M94" s="508" t="s">
        <v>532</v>
      </c>
      <c r="N94" s="383">
        <v>2598</v>
      </c>
      <c r="O94" s="422">
        <v>3100</v>
      </c>
      <c r="P94" s="561" t="s">
        <v>112</v>
      </c>
      <c r="Q94" s="396" t="str">
        <f t="shared" si="28"/>
        <v>E1.P_F.MR2-MP04-1</v>
      </c>
      <c r="R94" s="471" t="s">
        <v>749</v>
      </c>
      <c r="S94" s="331" t="s">
        <v>532</v>
      </c>
      <c r="T94" s="332">
        <v>492</v>
      </c>
      <c r="U94" s="333">
        <v>600</v>
      </c>
      <c r="V94" s="332" t="s">
        <v>67</v>
      </c>
      <c r="W94" s="497">
        <v>519</v>
      </c>
      <c r="X94" s="562">
        <v>546</v>
      </c>
      <c r="Y94" s="497">
        <v>573</v>
      </c>
      <c r="Z94" s="563">
        <v>600</v>
      </c>
      <c r="AA94" s="292"/>
      <c r="AB94" s="293"/>
      <c r="AC94" s="293"/>
      <c r="AD94" s="293"/>
      <c r="AE94" s="293"/>
      <c r="AF94" s="293"/>
      <c r="AG94" s="293"/>
      <c r="AH94" s="293"/>
      <c r="AI94" s="293"/>
      <c r="AJ94" s="293"/>
      <c r="AK94" s="293"/>
      <c r="AL94" s="293"/>
      <c r="AM94" s="293"/>
      <c r="AN94" s="293"/>
      <c r="AO94" s="293"/>
      <c r="AP94" s="293"/>
      <c r="AQ94" s="293"/>
      <c r="AR94" s="293"/>
      <c r="AS94" s="293"/>
      <c r="AT94" s="293"/>
      <c r="AU94" s="293"/>
      <c r="AV94" s="293"/>
      <c r="AW94" s="293"/>
      <c r="AX94" s="293"/>
      <c r="AY94" s="293"/>
      <c r="AZ94" s="293"/>
      <c r="BA94" s="293"/>
      <c r="BB94" s="293"/>
      <c r="BC94" s="294"/>
      <c r="BD94" s="295" t="s">
        <v>699</v>
      </c>
      <c r="BS94" s="86" t="s">
        <v>204</v>
      </c>
      <c r="BT94" s="86" t="s">
        <v>205</v>
      </c>
      <c r="BU94" s="87" t="s">
        <v>747</v>
      </c>
      <c r="BV94" s="84" t="s">
        <v>745</v>
      </c>
      <c r="DH94" s="7" t="s">
        <v>751</v>
      </c>
      <c r="DI94" s="7" t="s">
        <v>84</v>
      </c>
      <c r="DJ94" s="7" t="s">
        <v>223</v>
      </c>
      <c r="DK94" s="7" t="s">
        <v>224</v>
      </c>
      <c r="DL94" s="7" t="s">
        <v>234</v>
      </c>
      <c r="DQ94" s="7" t="s">
        <v>747</v>
      </c>
      <c r="DR94" s="7" t="s">
        <v>745</v>
      </c>
      <c r="EL94" s="822" t="s">
        <v>750</v>
      </c>
      <c r="EM94" s="312" t="s">
        <v>749</v>
      </c>
      <c r="EN94" s="268" t="s">
        <v>532</v>
      </c>
      <c r="EO94" s="268">
        <v>492</v>
      </c>
      <c r="EP94" s="268">
        <v>600</v>
      </c>
      <c r="EQ94" s="269">
        <v>519</v>
      </c>
      <c r="ER94" s="269">
        <v>546</v>
      </c>
      <c r="ES94" s="269">
        <v>573</v>
      </c>
      <c r="ET94" s="820">
        <v>600</v>
      </c>
    </row>
    <row r="95" spans="1:150" ht="86.25" customHeight="1" x14ac:dyDescent="0.2">
      <c r="A95" s="271" t="s">
        <v>53</v>
      </c>
      <c r="B95" s="446" t="s">
        <v>54</v>
      </c>
      <c r="C95" s="447" t="s">
        <v>55</v>
      </c>
      <c r="D95" s="426" t="s">
        <v>694</v>
      </c>
      <c r="E95" s="3" t="s">
        <v>752</v>
      </c>
      <c r="F95" s="427" t="str">
        <f t="shared" si="26"/>
        <v>E1.P_G</v>
      </c>
      <c r="G95" s="428" t="s">
        <v>136</v>
      </c>
      <c r="H95" s="564" t="s">
        <v>245</v>
      </c>
      <c r="I95" s="399" t="s">
        <v>753</v>
      </c>
      <c r="J95" s="430" t="s">
        <v>61</v>
      </c>
      <c r="K95" s="393" t="str">
        <f t="shared" si="27"/>
        <v>E1.P_G.MR1</v>
      </c>
      <c r="L95" s="355" t="s">
        <v>220</v>
      </c>
      <c r="M95" s="356" t="s">
        <v>754</v>
      </c>
      <c r="N95" s="357">
        <v>1</v>
      </c>
      <c r="O95" s="241">
        <v>3</v>
      </c>
      <c r="P95" s="359" t="s">
        <v>64</v>
      </c>
      <c r="Q95" s="360" t="str">
        <f t="shared" si="28"/>
        <v>E1.P_G.MR1-MP01-1</v>
      </c>
      <c r="R95" s="412" t="s">
        <v>755</v>
      </c>
      <c r="S95" s="364" t="s">
        <v>756</v>
      </c>
      <c r="T95" s="363">
        <v>0</v>
      </c>
      <c r="U95" s="364">
        <v>1</v>
      </c>
      <c r="V95" s="363" t="s">
        <v>67</v>
      </c>
      <c r="W95" s="249">
        <v>0</v>
      </c>
      <c r="X95" s="250">
        <v>0.6</v>
      </c>
      <c r="Y95" s="251">
        <v>0.4</v>
      </c>
      <c r="Z95" s="366">
        <v>0</v>
      </c>
      <c r="AA95" s="432">
        <f>124327000-4327000</f>
        <v>120000000</v>
      </c>
      <c r="AB95" s="433"/>
      <c r="AC95" s="433">
        <v>0</v>
      </c>
      <c r="AD95" s="433"/>
      <c r="AE95" s="433"/>
      <c r="AF95" s="433"/>
      <c r="AG95" s="433">
        <f t="shared" ref="AG95" si="41">SUM(AA95:AF95)</f>
        <v>120000000</v>
      </c>
      <c r="AH95" s="433">
        <f t="shared" ref="AH95:AT95" si="42">+AA95</f>
        <v>120000000</v>
      </c>
      <c r="AI95" s="433">
        <f t="shared" si="42"/>
        <v>0</v>
      </c>
      <c r="AJ95" s="433">
        <f t="shared" si="42"/>
        <v>0</v>
      </c>
      <c r="AK95" s="433">
        <f t="shared" si="42"/>
        <v>0</v>
      </c>
      <c r="AL95" s="433">
        <f t="shared" si="42"/>
        <v>0</v>
      </c>
      <c r="AM95" s="433">
        <f t="shared" si="42"/>
        <v>0</v>
      </c>
      <c r="AN95" s="433">
        <f t="shared" si="42"/>
        <v>120000000</v>
      </c>
      <c r="AO95" s="433">
        <f t="shared" si="42"/>
        <v>120000000</v>
      </c>
      <c r="AP95" s="433">
        <f t="shared" si="42"/>
        <v>0</v>
      </c>
      <c r="AQ95" s="433">
        <f t="shared" si="42"/>
        <v>0</v>
      </c>
      <c r="AR95" s="433">
        <f t="shared" si="42"/>
        <v>0</v>
      </c>
      <c r="AS95" s="433">
        <f t="shared" si="42"/>
        <v>0</v>
      </c>
      <c r="AT95" s="433">
        <f t="shared" si="42"/>
        <v>0</v>
      </c>
      <c r="AU95" s="433">
        <f t="shared" ref="AU95" si="43">SUM(AO95:AT95)</f>
        <v>120000000</v>
      </c>
      <c r="AV95" s="433">
        <f t="shared" ref="AV95:BA95" si="44">+AO95</f>
        <v>120000000</v>
      </c>
      <c r="AW95" s="433">
        <f t="shared" si="44"/>
        <v>0</v>
      </c>
      <c r="AX95" s="433">
        <f t="shared" si="44"/>
        <v>0</v>
      </c>
      <c r="AY95" s="433">
        <f t="shared" si="44"/>
        <v>0</v>
      </c>
      <c r="AZ95" s="433">
        <f t="shared" si="44"/>
        <v>0</v>
      </c>
      <c r="BA95" s="433">
        <f t="shared" si="44"/>
        <v>0</v>
      </c>
      <c r="BB95" s="433">
        <f t="shared" ref="BB95" si="45">SUM(AV95:BA95)</f>
        <v>120000000</v>
      </c>
      <c r="BC95" s="434">
        <f t="shared" ref="BC95" si="46">+BB95+AU95+AN95+AG95</f>
        <v>480000000</v>
      </c>
      <c r="BD95" s="295" t="s">
        <v>699</v>
      </c>
      <c r="BS95" s="86" t="s">
        <v>204</v>
      </c>
      <c r="BT95" s="86" t="s">
        <v>205</v>
      </c>
      <c r="BU95" s="87" t="s">
        <v>750</v>
      </c>
      <c r="BV95" s="84" t="s">
        <v>749</v>
      </c>
      <c r="DH95" s="7" t="s">
        <v>758</v>
      </c>
      <c r="DI95" s="7" t="s">
        <v>84</v>
      </c>
      <c r="DJ95" s="7" t="s">
        <v>223</v>
      </c>
      <c r="DK95" s="7" t="s">
        <v>224</v>
      </c>
      <c r="DL95" s="7" t="s">
        <v>234</v>
      </c>
      <c r="DQ95" s="7" t="s">
        <v>750</v>
      </c>
      <c r="DR95" s="7" t="s">
        <v>749</v>
      </c>
      <c r="EL95" s="822" t="s">
        <v>757</v>
      </c>
      <c r="EM95" s="312" t="s">
        <v>755</v>
      </c>
      <c r="EN95" s="268" t="s">
        <v>756</v>
      </c>
      <c r="EO95" s="268">
        <v>0</v>
      </c>
      <c r="EP95" s="268">
        <v>1</v>
      </c>
      <c r="EQ95" s="269">
        <v>0</v>
      </c>
      <c r="ER95" s="270">
        <v>0.6</v>
      </c>
      <c r="ES95" s="270">
        <v>0.4</v>
      </c>
      <c r="ET95" s="820">
        <v>0</v>
      </c>
    </row>
    <row r="96" spans="1:150" ht="51" customHeight="1" x14ac:dyDescent="0.2">
      <c r="A96" s="271" t="s">
        <v>53</v>
      </c>
      <c r="B96" s="424" t="s">
        <v>54</v>
      </c>
      <c r="C96" s="425" t="s">
        <v>55</v>
      </c>
      <c r="D96" s="425"/>
      <c r="E96" s="8" t="s">
        <v>752</v>
      </c>
      <c r="F96" s="275" t="str">
        <f t="shared" si="26"/>
        <v>E1.P_G</v>
      </c>
      <c r="G96" s="565" t="s">
        <v>136</v>
      </c>
      <c r="H96" s="506" t="s">
        <v>245</v>
      </c>
      <c r="I96" s="438"/>
      <c r="J96" s="278" t="s">
        <v>61</v>
      </c>
      <c r="K96" s="279" t="str">
        <f t="shared" si="27"/>
        <v>E1.P_G.MR1</v>
      </c>
      <c r="L96" s="404" t="s">
        <v>220</v>
      </c>
      <c r="M96" s="405" t="s">
        <v>754</v>
      </c>
      <c r="N96" s="369">
        <v>1</v>
      </c>
      <c r="O96" s="282">
        <v>3</v>
      </c>
      <c r="P96" s="371" t="s">
        <v>87</v>
      </c>
      <c r="Q96" s="372" t="str">
        <f t="shared" si="28"/>
        <v>E1.P_G.MR1-MP02-1</v>
      </c>
      <c r="R96" s="416" t="s">
        <v>759</v>
      </c>
      <c r="S96" s="288" t="s">
        <v>760</v>
      </c>
      <c r="T96" s="287">
        <v>0</v>
      </c>
      <c r="U96" s="288">
        <v>1</v>
      </c>
      <c r="V96" s="287" t="s">
        <v>67</v>
      </c>
      <c r="W96" s="289">
        <v>0</v>
      </c>
      <c r="X96" s="316">
        <v>0.25</v>
      </c>
      <c r="Y96" s="309">
        <v>0.5</v>
      </c>
      <c r="Z96" s="317">
        <v>0.25</v>
      </c>
      <c r="AA96" s="292"/>
      <c r="AB96" s="293"/>
      <c r="AC96" s="293"/>
      <c r="AD96" s="293"/>
      <c r="AE96" s="293"/>
      <c r="AF96" s="293"/>
      <c r="AG96" s="293"/>
      <c r="AH96" s="293"/>
      <c r="AI96" s="293"/>
      <c r="AJ96" s="293"/>
      <c r="AK96" s="293"/>
      <c r="AL96" s="293"/>
      <c r="AM96" s="293"/>
      <c r="AN96" s="293"/>
      <c r="AO96" s="293"/>
      <c r="AP96" s="293"/>
      <c r="AQ96" s="293"/>
      <c r="AR96" s="293"/>
      <c r="AS96" s="293"/>
      <c r="AT96" s="293"/>
      <c r="AU96" s="293"/>
      <c r="AV96" s="293"/>
      <c r="AW96" s="293"/>
      <c r="AX96" s="293"/>
      <c r="AY96" s="293"/>
      <c r="AZ96" s="293"/>
      <c r="BA96" s="293"/>
      <c r="BB96" s="293"/>
      <c r="BC96" s="294"/>
      <c r="BD96" s="295" t="s">
        <v>699</v>
      </c>
      <c r="BS96" s="84" t="s">
        <v>219</v>
      </c>
      <c r="BT96" s="84" t="s">
        <v>220</v>
      </c>
      <c r="BU96" s="87" t="s">
        <v>757</v>
      </c>
      <c r="BV96" s="84" t="s">
        <v>755</v>
      </c>
      <c r="DH96" s="7" t="s">
        <v>762</v>
      </c>
      <c r="DI96" s="7" t="s">
        <v>84</v>
      </c>
      <c r="DJ96" s="7" t="s">
        <v>244</v>
      </c>
      <c r="DK96" s="7" t="s">
        <v>245</v>
      </c>
      <c r="DL96" s="7" t="s">
        <v>243</v>
      </c>
      <c r="DQ96" s="7" t="s">
        <v>757</v>
      </c>
      <c r="DR96" s="7" t="s">
        <v>755</v>
      </c>
      <c r="EL96" s="822" t="s">
        <v>761</v>
      </c>
      <c r="EM96" s="312" t="s">
        <v>759</v>
      </c>
      <c r="EN96" s="268" t="s">
        <v>760</v>
      </c>
      <c r="EO96" s="268">
        <v>0</v>
      </c>
      <c r="EP96" s="268">
        <v>1</v>
      </c>
      <c r="EQ96" s="269">
        <v>0</v>
      </c>
      <c r="ER96" s="323">
        <v>0.25</v>
      </c>
      <c r="ES96" s="270">
        <v>0.5</v>
      </c>
      <c r="ET96" s="819">
        <v>0.25</v>
      </c>
    </row>
    <row r="97" spans="1:150" ht="63" customHeight="1" thickBot="1" x14ac:dyDescent="0.25">
      <c r="A97" s="271" t="s">
        <v>53</v>
      </c>
      <c r="B97" s="424" t="s">
        <v>54</v>
      </c>
      <c r="C97" s="425" t="s">
        <v>55</v>
      </c>
      <c r="D97" s="425"/>
      <c r="E97" s="8" t="s">
        <v>752</v>
      </c>
      <c r="F97" s="275" t="str">
        <f t="shared" si="26"/>
        <v>E1.P_G</v>
      </c>
      <c r="G97" s="565" t="s">
        <v>136</v>
      </c>
      <c r="H97" s="506" t="s">
        <v>245</v>
      </c>
      <c r="I97" s="442"/>
      <c r="J97" s="335" t="s">
        <v>61</v>
      </c>
      <c r="K97" s="279" t="str">
        <f t="shared" si="27"/>
        <v>E1.P_G.MR1</v>
      </c>
      <c r="L97" s="404" t="s">
        <v>220</v>
      </c>
      <c r="M97" s="421" t="s">
        <v>754</v>
      </c>
      <c r="N97" s="383">
        <v>1</v>
      </c>
      <c r="O97" s="422">
        <v>3</v>
      </c>
      <c r="P97" s="385" t="s">
        <v>99</v>
      </c>
      <c r="Q97" s="386" t="str">
        <f t="shared" si="28"/>
        <v>E1.P_G.MR1-MP03-1</v>
      </c>
      <c r="R97" s="423" t="s">
        <v>763</v>
      </c>
      <c r="S97" s="344" t="s">
        <v>764</v>
      </c>
      <c r="T97" s="345">
        <v>8</v>
      </c>
      <c r="U97" s="346">
        <v>8</v>
      </c>
      <c r="V97" s="345" t="s">
        <v>102</v>
      </c>
      <c r="W97" s="347">
        <v>2</v>
      </c>
      <c r="X97" s="348">
        <v>2</v>
      </c>
      <c r="Y97" s="347">
        <v>2</v>
      </c>
      <c r="Z97" s="349">
        <v>2</v>
      </c>
      <c r="AA97" s="292"/>
      <c r="AB97" s="293"/>
      <c r="AC97" s="293"/>
      <c r="AD97" s="293"/>
      <c r="AE97" s="293"/>
      <c r="AF97" s="293"/>
      <c r="AG97" s="293"/>
      <c r="AH97" s="293"/>
      <c r="AI97" s="293"/>
      <c r="AJ97" s="293"/>
      <c r="AK97" s="293"/>
      <c r="AL97" s="293"/>
      <c r="AM97" s="293"/>
      <c r="AN97" s="293"/>
      <c r="AO97" s="293"/>
      <c r="AP97" s="293"/>
      <c r="AQ97" s="293"/>
      <c r="AR97" s="293"/>
      <c r="AS97" s="293"/>
      <c r="AT97" s="293"/>
      <c r="AU97" s="293"/>
      <c r="AV97" s="293"/>
      <c r="AW97" s="293"/>
      <c r="AX97" s="293"/>
      <c r="AY97" s="293"/>
      <c r="AZ97" s="293"/>
      <c r="BA97" s="293"/>
      <c r="BB97" s="293"/>
      <c r="BC97" s="294"/>
      <c r="BD97" s="295" t="s">
        <v>699</v>
      </c>
      <c r="BS97" s="86" t="s">
        <v>219</v>
      </c>
      <c r="BT97" s="86" t="s">
        <v>220</v>
      </c>
      <c r="BU97" s="87" t="s">
        <v>761</v>
      </c>
      <c r="BV97" s="84" t="s">
        <v>759</v>
      </c>
      <c r="DH97" s="7" t="s">
        <v>766</v>
      </c>
      <c r="DI97" s="7" t="s">
        <v>84</v>
      </c>
      <c r="DJ97" s="7" t="s">
        <v>244</v>
      </c>
      <c r="DK97" s="7" t="s">
        <v>245</v>
      </c>
      <c r="DL97" s="7" t="s">
        <v>243</v>
      </c>
      <c r="DQ97" s="7" t="s">
        <v>761</v>
      </c>
      <c r="DR97" s="7" t="s">
        <v>759</v>
      </c>
      <c r="EL97" s="822" t="s">
        <v>765</v>
      </c>
      <c r="EM97" s="312" t="s">
        <v>763</v>
      </c>
      <c r="EN97" s="268" t="s">
        <v>764</v>
      </c>
      <c r="EO97" s="268">
        <v>8</v>
      </c>
      <c r="EP97" s="268">
        <v>8</v>
      </c>
      <c r="EQ97" s="269">
        <v>2</v>
      </c>
      <c r="ER97" s="269">
        <v>2</v>
      </c>
      <c r="ES97" s="269">
        <v>2</v>
      </c>
      <c r="ET97" s="820">
        <v>2</v>
      </c>
    </row>
    <row r="98" spans="1:150" ht="113.25" customHeight="1" thickBot="1" x14ac:dyDescent="0.25">
      <c r="A98" s="271" t="s">
        <v>53</v>
      </c>
      <c r="B98" s="424" t="s">
        <v>54</v>
      </c>
      <c r="C98" s="425" t="s">
        <v>55</v>
      </c>
      <c r="D98" s="425"/>
      <c r="E98" s="8" t="s">
        <v>752</v>
      </c>
      <c r="F98" s="275" t="str">
        <f t="shared" si="26"/>
        <v>E1.P_G</v>
      </c>
      <c r="G98" s="566" t="s">
        <v>136</v>
      </c>
      <c r="H98" s="567" t="s">
        <v>245</v>
      </c>
      <c r="I98" s="568" t="s">
        <v>767</v>
      </c>
      <c r="J98" s="569" t="s">
        <v>167</v>
      </c>
      <c r="K98" s="570" t="str">
        <f t="shared" si="27"/>
        <v>E1.P_G.MR2</v>
      </c>
      <c r="L98" s="571" t="s">
        <v>232</v>
      </c>
      <c r="M98" s="572" t="s">
        <v>754</v>
      </c>
      <c r="N98" s="573">
        <v>1</v>
      </c>
      <c r="O98" s="574">
        <v>1</v>
      </c>
      <c r="P98" s="575" t="s">
        <v>64</v>
      </c>
      <c r="Q98" s="576" t="str">
        <f t="shared" si="28"/>
        <v>E1.P_G.MR2-MP01-1</v>
      </c>
      <c r="R98" s="577" t="s">
        <v>768</v>
      </c>
      <c r="S98" s="578" t="s">
        <v>769</v>
      </c>
      <c r="T98" s="579">
        <v>0</v>
      </c>
      <c r="U98" s="580">
        <v>1</v>
      </c>
      <c r="V98" s="579" t="s">
        <v>67</v>
      </c>
      <c r="W98" s="581">
        <v>0.25</v>
      </c>
      <c r="X98" s="582">
        <v>0.25</v>
      </c>
      <c r="Y98" s="581">
        <v>0.25</v>
      </c>
      <c r="Z98" s="583">
        <v>0.25</v>
      </c>
      <c r="AA98" s="292"/>
      <c r="AB98" s="293"/>
      <c r="AC98" s="293"/>
      <c r="AD98" s="293"/>
      <c r="AE98" s="293"/>
      <c r="AF98" s="293"/>
      <c r="AG98" s="293"/>
      <c r="AH98" s="293"/>
      <c r="AI98" s="293"/>
      <c r="AJ98" s="293"/>
      <c r="AK98" s="293"/>
      <c r="AL98" s="293"/>
      <c r="AM98" s="293"/>
      <c r="AN98" s="293"/>
      <c r="AO98" s="293"/>
      <c r="AP98" s="293"/>
      <c r="AQ98" s="293"/>
      <c r="AR98" s="293"/>
      <c r="AS98" s="293"/>
      <c r="AT98" s="293"/>
      <c r="AU98" s="293"/>
      <c r="AV98" s="293"/>
      <c r="AW98" s="293"/>
      <c r="AX98" s="293"/>
      <c r="AY98" s="293"/>
      <c r="AZ98" s="293"/>
      <c r="BA98" s="293"/>
      <c r="BB98" s="293"/>
      <c r="BC98" s="294"/>
      <c r="BD98" s="295" t="s">
        <v>699</v>
      </c>
      <c r="BS98" s="86" t="s">
        <v>219</v>
      </c>
      <c r="BT98" s="86" t="s">
        <v>220</v>
      </c>
      <c r="BU98" s="87" t="s">
        <v>765</v>
      </c>
      <c r="BV98" s="84" t="s">
        <v>763</v>
      </c>
      <c r="DH98" s="7" t="s">
        <v>771</v>
      </c>
      <c r="DI98" s="7" t="s">
        <v>84</v>
      </c>
      <c r="DJ98" s="7" t="s">
        <v>244</v>
      </c>
      <c r="DK98" s="7" t="s">
        <v>245</v>
      </c>
      <c r="DL98" s="7" t="s">
        <v>243</v>
      </c>
      <c r="DQ98" s="7" t="s">
        <v>765</v>
      </c>
      <c r="DR98" s="7" t="s">
        <v>763</v>
      </c>
      <c r="EL98" s="822" t="s">
        <v>770</v>
      </c>
      <c r="EM98" s="312" t="s">
        <v>768</v>
      </c>
      <c r="EN98" s="268" t="s">
        <v>769</v>
      </c>
      <c r="EO98" s="268">
        <v>0</v>
      </c>
      <c r="EP98" s="268">
        <v>1</v>
      </c>
      <c r="EQ98" s="323">
        <v>0.25</v>
      </c>
      <c r="ER98" s="323">
        <v>0.25</v>
      </c>
      <c r="ES98" s="323">
        <v>0.25</v>
      </c>
      <c r="ET98" s="819">
        <v>0.25</v>
      </c>
    </row>
    <row r="99" spans="1:150" ht="111.75" customHeight="1" x14ac:dyDescent="0.2">
      <c r="A99" s="271" t="s">
        <v>53</v>
      </c>
      <c r="B99" s="424" t="s">
        <v>54</v>
      </c>
      <c r="C99" s="425" t="s">
        <v>55</v>
      </c>
      <c r="D99" s="426" t="s">
        <v>694</v>
      </c>
      <c r="E99" s="3" t="s">
        <v>772</v>
      </c>
      <c r="F99" s="427" t="str">
        <f t="shared" si="26"/>
        <v>E1.P_H</v>
      </c>
      <c r="G99" s="428" t="s">
        <v>146</v>
      </c>
      <c r="H99" s="356" t="s">
        <v>265</v>
      </c>
      <c r="I99" s="584" t="s">
        <v>773</v>
      </c>
      <c r="J99" s="430" t="s">
        <v>61</v>
      </c>
      <c r="K99" s="238" t="str">
        <f t="shared" si="27"/>
        <v>E1.P_H.MR1</v>
      </c>
      <c r="L99" s="239" t="s">
        <v>241</v>
      </c>
      <c r="M99" s="240" t="s">
        <v>774</v>
      </c>
      <c r="N99" s="357">
        <v>952</v>
      </c>
      <c r="O99" s="241">
        <v>952</v>
      </c>
      <c r="P99" s="371" t="s">
        <v>64</v>
      </c>
      <c r="Q99" s="360" t="str">
        <f t="shared" si="28"/>
        <v>E1.P_H.MR1-MP01-1</v>
      </c>
      <c r="R99" s="412" t="s">
        <v>775</v>
      </c>
      <c r="S99" s="364" t="s">
        <v>776</v>
      </c>
      <c r="T99" s="363">
        <v>0</v>
      </c>
      <c r="U99" s="364">
        <v>1</v>
      </c>
      <c r="V99" s="363" t="s">
        <v>67</v>
      </c>
      <c r="W99" s="557">
        <v>0.25</v>
      </c>
      <c r="X99" s="558">
        <v>0.25</v>
      </c>
      <c r="Y99" s="557">
        <v>0.25</v>
      </c>
      <c r="Z99" s="559">
        <v>0.25</v>
      </c>
      <c r="AA99" s="585">
        <f>15000000+14957800+70042200</f>
        <v>100000000</v>
      </c>
      <c r="AB99" s="586"/>
      <c r="AC99" s="586">
        <v>0</v>
      </c>
      <c r="AD99" s="586"/>
      <c r="AE99" s="586"/>
      <c r="AF99" s="586"/>
      <c r="AG99" s="586">
        <f>SUM(AA99:AF99)</f>
        <v>100000000</v>
      </c>
      <c r="AH99" s="586">
        <f t="shared" ref="AH99:AT99" si="47">+AA99</f>
        <v>100000000</v>
      </c>
      <c r="AI99" s="586">
        <f t="shared" si="47"/>
        <v>0</v>
      </c>
      <c r="AJ99" s="586">
        <f t="shared" si="47"/>
        <v>0</v>
      </c>
      <c r="AK99" s="586">
        <f t="shared" si="47"/>
        <v>0</v>
      </c>
      <c r="AL99" s="586">
        <f t="shared" si="47"/>
        <v>0</v>
      </c>
      <c r="AM99" s="586">
        <f t="shared" si="47"/>
        <v>0</v>
      </c>
      <c r="AN99" s="586">
        <f t="shared" si="47"/>
        <v>100000000</v>
      </c>
      <c r="AO99" s="586">
        <f t="shared" si="47"/>
        <v>100000000</v>
      </c>
      <c r="AP99" s="586">
        <f t="shared" si="47"/>
        <v>0</v>
      </c>
      <c r="AQ99" s="586">
        <f t="shared" si="47"/>
        <v>0</v>
      </c>
      <c r="AR99" s="586">
        <f t="shared" si="47"/>
        <v>0</v>
      </c>
      <c r="AS99" s="586">
        <f t="shared" si="47"/>
        <v>0</v>
      </c>
      <c r="AT99" s="586">
        <f t="shared" si="47"/>
        <v>0</v>
      </c>
      <c r="AU99" s="586">
        <f t="shared" ref="AU99" si="48">SUM(AO99:AT99)</f>
        <v>100000000</v>
      </c>
      <c r="AV99" s="586">
        <f t="shared" ref="AV99:BA99" si="49">+AO99</f>
        <v>100000000</v>
      </c>
      <c r="AW99" s="586">
        <f t="shared" si="49"/>
        <v>0</v>
      </c>
      <c r="AX99" s="586">
        <f t="shared" si="49"/>
        <v>0</v>
      </c>
      <c r="AY99" s="586">
        <f t="shared" si="49"/>
        <v>0</v>
      </c>
      <c r="AZ99" s="586">
        <f t="shared" si="49"/>
        <v>0</v>
      </c>
      <c r="BA99" s="586">
        <f t="shared" si="49"/>
        <v>0</v>
      </c>
      <c r="BB99" s="586">
        <f t="shared" ref="BB99" si="50">SUM(AV99:BA99)</f>
        <v>100000000</v>
      </c>
      <c r="BC99" s="587">
        <f t="shared" ref="BC99" si="51">+BB99+AU99+AN99+AG99</f>
        <v>400000000</v>
      </c>
      <c r="BD99" s="295" t="s">
        <v>699</v>
      </c>
      <c r="BS99" s="84" t="s">
        <v>231</v>
      </c>
      <c r="BT99" s="84" t="s">
        <v>232</v>
      </c>
      <c r="BU99" s="87" t="s">
        <v>770</v>
      </c>
      <c r="BV99" s="84" t="s">
        <v>768</v>
      </c>
      <c r="DH99" s="7" t="s">
        <v>778</v>
      </c>
      <c r="DI99" s="7" t="s">
        <v>84</v>
      </c>
      <c r="DJ99" s="7" t="s">
        <v>244</v>
      </c>
      <c r="DK99" s="7" t="s">
        <v>245</v>
      </c>
      <c r="DL99" s="7" t="s">
        <v>254</v>
      </c>
      <c r="DQ99" s="7" t="s">
        <v>770</v>
      </c>
      <c r="DR99" s="7" t="s">
        <v>768</v>
      </c>
      <c r="EL99" s="822" t="s">
        <v>777</v>
      </c>
      <c r="EM99" s="312" t="s">
        <v>775</v>
      </c>
      <c r="EN99" s="268" t="s">
        <v>776</v>
      </c>
      <c r="EO99" s="268">
        <v>0</v>
      </c>
      <c r="EP99" s="268">
        <v>1</v>
      </c>
      <c r="EQ99" s="323">
        <v>0.25</v>
      </c>
      <c r="ER99" s="323">
        <v>0.25</v>
      </c>
      <c r="ES99" s="323">
        <v>0.25</v>
      </c>
      <c r="ET99" s="819">
        <v>0.25</v>
      </c>
    </row>
    <row r="100" spans="1:150" ht="70.5" customHeight="1" x14ac:dyDescent="0.2">
      <c r="A100" s="271" t="s">
        <v>53</v>
      </c>
      <c r="B100" s="424" t="s">
        <v>54</v>
      </c>
      <c r="C100" s="425" t="s">
        <v>55</v>
      </c>
      <c r="D100" s="425"/>
      <c r="E100" s="8" t="s">
        <v>772</v>
      </c>
      <c r="F100" s="275" t="str">
        <f t="shared" si="26"/>
        <v>E1.P_H</v>
      </c>
      <c r="G100" s="448" t="s">
        <v>146</v>
      </c>
      <c r="H100" s="405" t="s">
        <v>265</v>
      </c>
      <c r="I100" s="588"/>
      <c r="J100" s="278" t="s">
        <v>61</v>
      </c>
      <c r="K100" s="279" t="str">
        <f t="shared" si="27"/>
        <v>E1.P_H.MR1</v>
      </c>
      <c r="L100" s="507" t="s">
        <v>241</v>
      </c>
      <c r="M100" s="508" t="s">
        <v>774</v>
      </c>
      <c r="N100" s="369">
        <v>952</v>
      </c>
      <c r="O100" s="282">
        <v>952</v>
      </c>
      <c r="P100" s="371" t="s">
        <v>87</v>
      </c>
      <c r="Q100" s="372" t="str">
        <f t="shared" si="28"/>
        <v>E1.P_H.MR1-MP02-1</v>
      </c>
      <c r="R100" s="416" t="s">
        <v>779</v>
      </c>
      <c r="S100" s="288" t="s">
        <v>780</v>
      </c>
      <c r="T100" s="287">
        <v>0</v>
      </c>
      <c r="U100" s="288">
        <v>1</v>
      </c>
      <c r="V100" s="287" t="s">
        <v>67</v>
      </c>
      <c r="W100" s="315">
        <v>0.25</v>
      </c>
      <c r="X100" s="316">
        <v>0.25</v>
      </c>
      <c r="Y100" s="315">
        <v>0.25</v>
      </c>
      <c r="Z100" s="317">
        <v>0.25</v>
      </c>
      <c r="AA100" s="292"/>
      <c r="AB100" s="293"/>
      <c r="AC100" s="293"/>
      <c r="AD100" s="293"/>
      <c r="AE100" s="293"/>
      <c r="AF100" s="293"/>
      <c r="AG100" s="293"/>
      <c r="AH100" s="293"/>
      <c r="AI100" s="293"/>
      <c r="AJ100" s="293"/>
      <c r="AK100" s="293"/>
      <c r="AL100" s="293"/>
      <c r="AM100" s="293"/>
      <c r="AN100" s="293"/>
      <c r="AO100" s="293"/>
      <c r="AP100" s="293"/>
      <c r="AQ100" s="293"/>
      <c r="AR100" s="293"/>
      <c r="AS100" s="293"/>
      <c r="AT100" s="293"/>
      <c r="AU100" s="293"/>
      <c r="AV100" s="293"/>
      <c r="AW100" s="293"/>
      <c r="AX100" s="293"/>
      <c r="AY100" s="293"/>
      <c r="AZ100" s="293"/>
      <c r="BA100" s="293"/>
      <c r="BB100" s="293"/>
      <c r="BC100" s="294"/>
      <c r="BD100" s="295" t="s">
        <v>699</v>
      </c>
      <c r="BS100" s="84" t="s">
        <v>240</v>
      </c>
      <c r="BT100" s="84" t="s">
        <v>241</v>
      </c>
      <c r="BU100" s="87" t="s">
        <v>777</v>
      </c>
      <c r="BV100" s="84" t="s">
        <v>775</v>
      </c>
      <c r="DH100" s="7" t="s">
        <v>782</v>
      </c>
      <c r="DI100" s="7" t="s">
        <v>84</v>
      </c>
      <c r="DJ100" s="7" t="s">
        <v>264</v>
      </c>
      <c r="DK100" s="7" t="s">
        <v>265</v>
      </c>
      <c r="DL100" s="7" t="s">
        <v>263</v>
      </c>
      <c r="DQ100" s="7" t="s">
        <v>777</v>
      </c>
      <c r="DR100" s="7" t="s">
        <v>775</v>
      </c>
      <c r="EL100" s="822" t="s">
        <v>781</v>
      </c>
      <c r="EM100" s="312" t="s">
        <v>779</v>
      </c>
      <c r="EN100" s="268" t="s">
        <v>780</v>
      </c>
      <c r="EO100" s="268">
        <v>0</v>
      </c>
      <c r="EP100" s="268">
        <v>1</v>
      </c>
      <c r="EQ100" s="323">
        <v>0.25</v>
      </c>
      <c r="ER100" s="323">
        <v>0.25</v>
      </c>
      <c r="ES100" s="323">
        <v>0.25</v>
      </c>
      <c r="ET100" s="819">
        <v>0.25</v>
      </c>
    </row>
    <row r="101" spans="1:150" ht="84.75" customHeight="1" x14ac:dyDescent="0.2">
      <c r="A101" s="271" t="s">
        <v>53</v>
      </c>
      <c r="B101" s="424" t="s">
        <v>54</v>
      </c>
      <c r="C101" s="425" t="s">
        <v>55</v>
      </c>
      <c r="D101" s="425"/>
      <c r="E101" s="8" t="s">
        <v>772</v>
      </c>
      <c r="F101" s="275" t="str">
        <f t="shared" si="26"/>
        <v>E1.P_H</v>
      </c>
      <c r="G101" s="448" t="s">
        <v>146</v>
      </c>
      <c r="H101" s="405" t="s">
        <v>265</v>
      </c>
      <c r="I101" s="588"/>
      <c r="J101" s="278" t="s">
        <v>61</v>
      </c>
      <c r="K101" s="279" t="str">
        <f t="shared" si="27"/>
        <v>E1.P_H.MR1</v>
      </c>
      <c r="L101" s="507" t="s">
        <v>241</v>
      </c>
      <c r="M101" s="508" t="s">
        <v>774</v>
      </c>
      <c r="N101" s="369">
        <v>952</v>
      </c>
      <c r="O101" s="282">
        <v>952</v>
      </c>
      <c r="P101" s="371" t="s">
        <v>99</v>
      </c>
      <c r="Q101" s="372" t="str">
        <f t="shared" si="28"/>
        <v>E1.P_H.MR1-MP03-1</v>
      </c>
      <c r="R101" s="416" t="s">
        <v>783</v>
      </c>
      <c r="S101" s="288" t="s">
        <v>784</v>
      </c>
      <c r="T101" s="287">
        <v>0</v>
      </c>
      <c r="U101" s="314">
        <v>1</v>
      </c>
      <c r="V101" s="313" t="s">
        <v>67</v>
      </c>
      <c r="W101" s="315">
        <v>0.25</v>
      </c>
      <c r="X101" s="316">
        <v>0.25</v>
      </c>
      <c r="Y101" s="315">
        <v>0.25</v>
      </c>
      <c r="Z101" s="317">
        <v>0.25</v>
      </c>
      <c r="AA101" s="318"/>
      <c r="AB101" s="319"/>
      <c r="AC101" s="319"/>
      <c r="AD101" s="319"/>
      <c r="AE101" s="319"/>
      <c r="AF101" s="319"/>
      <c r="AG101" s="319"/>
      <c r="AH101" s="319"/>
      <c r="AI101" s="319"/>
      <c r="AJ101" s="319"/>
      <c r="AK101" s="319"/>
      <c r="AL101" s="319"/>
      <c r="AM101" s="319"/>
      <c r="AN101" s="319"/>
      <c r="AO101" s="319"/>
      <c r="AP101" s="319"/>
      <c r="AQ101" s="319"/>
      <c r="AR101" s="319"/>
      <c r="AS101" s="319"/>
      <c r="AT101" s="319"/>
      <c r="AU101" s="319"/>
      <c r="AV101" s="319"/>
      <c r="AW101" s="319"/>
      <c r="AX101" s="319"/>
      <c r="AY101" s="319"/>
      <c r="AZ101" s="319"/>
      <c r="BA101" s="319"/>
      <c r="BB101" s="319"/>
      <c r="BC101" s="320"/>
      <c r="BD101" s="295" t="s">
        <v>699</v>
      </c>
      <c r="BS101" s="86" t="s">
        <v>240</v>
      </c>
      <c r="BT101" s="86" t="s">
        <v>241</v>
      </c>
      <c r="BU101" s="87" t="s">
        <v>781</v>
      </c>
      <c r="BV101" s="84" t="s">
        <v>779</v>
      </c>
      <c r="DH101" s="7" t="s">
        <v>786</v>
      </c>
      <c r="DI101" s="7" t="s">
        <v>84</v>
      </c>
      <c r="DJ101" s="7" t="s">
        <v>264</v>
      </c>
      <c r="DK101" s="7" t="s">
        <v>265</v>
      </c>
      <c r="DL101" s="7" t="s">
        <v>263</v>
      </c>
      <c r="DQ101" s="7" t="s">
        <v>781</v>
      </c>
      <c r="DR101" s="7" t="s">
        <v>779</v>
      </c>
      <c r="EL101" s="822" t="s">
        <v>785</v>
      </c>
      <c r="EM101" s="312" t="s">
        <v>783</v>
      </c>
      <c r="EN101" s="268" t="s">
        <v>784</v>
      </c>
      <c r="EO101" s="268">
        <v>0</v>
      </c>
      <c r="EP101" s="323">
        <v>100</v>
      </c>
      <c r="EQ101" s="323">
        <v>25</v>
      </c>
      <c r="ER101" s="323">
        <v>25</v>
      </c>
      <c r="ES101" s="323">
        <v>25</v>
      </c>
      <c r="ET101" s="819">
        <v>25</v>
      </c>
    </row>
    <row r="102" spans="1:150" ht="61.5" customHeight="1" x14ac:dyDescent="0.2">
      <c r="A102" s="271" t="s">
        <v>53</v>
      </c>
      <c r="B102" s="424" t="s">
        <v>54</v>
      </c>
      <c r="C102" s="425" t="s">
        <v>55</v>
      </c>
      <c r="D102" s="425"/>
      <c r="E102" s="8" t="s">
        <v>772</v>
      </c>
      <c r="F102" s="275" t="str">
        <f t="shared" si="26"/>
        <v>E1.P_H</v>
      </c>
      <c r="G102" s="448" t="s">
        <v>146</v>
      </c>
      <c r="H102" s="405" t="s">
        <v>265</v>
      </c>
      <c r="I102" s="588"/>
      <c r="J102" s="278" t="s">
        <v>61</v>
      </c>
      <c r="K102" s="279" t="str">
        <f t="shared" si="27"/>
        <v>E1.P_H.MR1</v>
      </c>
      <c r="L102" s="507" t="s">
        <v>241</v>
      </c>
      <c r="M102" s="508" t="s">
        <v>774</v>
      </c>
      <c r="N102" s="369">
        <v>952</v>
      </c>
      <c r="O102" s="282">
        <v>952</v>
      </c>
      <c r="P102" s="371" t="s">
        <v>112</v>
      </c>
      <c r="Q102" s="372" t="str">
        <f t="shared" si="28"/>
        <v>E1.P_H.MR1-MP04-1</v>
      </c>
      <c r="R102" s="416" t="s">
        <v>787</v>
      </c>
      <c r="S102" s="288" t="s">
        <v>788</v>
      </c>
      <c r="T102" s="287">
        <v>1</v>
      </c>
      <c r="U102" s="288">
        <v>1</v>
      </c>
      <c r="V102" s="287" t="s">
        <v>102</v>
      </c>
      <c r="W102" s="315">
        <v>0.25</v>
      </c>
      <c r="X102" s="316">
        <v>0.25</v>
      </c>
      <c r="Y102" s="315">
        <v>0.25</v>
      </c>
      <c r="Z102" s="317">
        <v>0.25</v>
      </c>
      <c r="AA102" s="292"/>
      <c r="AB102" s="293"/>
      <c r="AC102" s="293"/>
      <c r="AD102" s="293"/>
      <c r="AE102" s="293"/>
      <c r="AF102" s="293"/>
      <c r="AG102" s="293"/>
      <c r="AH102" s="293"/>
      <c r="AI102" s="293"/>
      <c r="AJ102" s="293"/>
      <c r="AK102" s="293"/>
      <c r="AL102" s="293"/>
      <c r="AM102" s="293"/>
      <c r="AN102" s="293"/>
      <c r="AO102" s="293"/>
      <c r="AP102" s="293"/>
      <c r="AQ102" s="293"/>
      <c r="AR102" s="293"/>
      <c r="AS102" s="293"/>
      <c r="AT102" s="293"/>
      <c r="AU102" s="293"/>
      <c r="AV102" s="293"/>
      <c r="AW102" s="293"/>
      <c r="AX102" s="293"/>
      <c r="AY102" s="293"/>
      <c r="AZ102" s="293"/>
      <c r="BA102" s="293"/>
      <c r="BB102" s="293"/>
      <c r="BC102" s="294"/>
      <c r="BD102" s="295" t="s">
        <v>699</v>
      </c>
      <c r="BS102" s="86" t="s">
        <v>240</v>
      </c>
      <c r="BT102" s="86" t="s">
        <v>241</v>
      </c>
      <c r="BU102" s="87" t="s">
        <v>785</v>
      </c>
      <c r="BV102" s="84" t="s">
        <v>783</v>
      </c>
      <c r="DH102" s="7" t="s">
        <v>790</v>
      </c>
      <c r="DI102" s="7" t="s">
        <v>84</v>
      </c>
      <c r="DJ102" s="7" t="s">
        <v>264</v>
      </c>
      <c r="DK102" s="7" t="s">
        <v>265</v>
      </c>
      <c r="DL102" s="7" t="s">
        <v>263</v>
      </c>
      <c r="DQ102" s="7" t="s">
        <v>785</v>
      </c>
      <c r="DR102" s="7" t="s">
        <v>783</v>
      </c>
      <c r="EL102" s="822" t="s">
        <v>789</v>
      </c>
      <c r="EM102" s="312" t="s">
        <v>787</v>
      </c>
      <c r="EN102" s="268" t="s">
        <v>788</v>
      </c>
      <c r="EO102" s="268">
        <v>1</v>
      </c>
      <c r="EP102" s="268">
        <v>1</v>
      </c>
      <c r="EQ102" s="323">
        <v>1</v>
      </c>
      <c r="ER102" s="323">
        <v>1</v>
      </c>
      <c r="ES102" s="323">
        <v>1</v>
      </c>
      <c r="ET102" s="819">
        <v>1</v>
      </c>
    </row>
    <row r="103" spans="1:150" ht="45.75" customHeight="1" x14ac:dyDescent="0.2">
      <c r="A103" s="271" t="s">
        <v>53</v>
      </c>
      <c r="B103" s="424" t="s">
        <v>54</v>
      </c>
      <c r="C103" s="425" t="s">
        <v>55</v>
      </c>
      <c r="D103" s="425"/>
      <c r="E103" s="8" t="s">
        <v>772</v>
      </c>
      <c r="F103" s="275" t="str">
        <f t="shared" si="26"/>
        <v>E1.P_H</v>
      </c>
      <c r="G103" s="448" t="s">
        <v>146</v>
      </c>
      <c r="H103" s="405" t="s">
        <v>265</v>
      </c>
      <c r="I103" s="588"/>
      <c r="J103" s="278" t="s">
        <v>61</v>
      </c>
      <c r="K103" s="279" t="str">
        <f t="shared" si="27"/>
        <v>E1.P_H.MR1</v>
      </c>
      <c r="L103" s="507" t="s">
        <v>241</v>
      </c>
      <c r="M103" s="508" t="s">
        <v>774</v>
      </c>
      <c r="N103" s="369">
        <v>952</v>
      </c>
      <c r="O103" s="282">
        <v>952</v>
      </c>
      <c r="P103" s="371" t="s">
        <v>122</v>
      </c>
      <c r="Q103" s="372" t="str">
        <f t="shared" si="28"/>
        <v>E1.P_H.MR1-MP05-1</v>
      </c>
      <c r="R103" s="416" t="s">
        <v>791</v>
      </c>
      <c r="S103" s="308" t="s">
        <v>792</v>
      </c>
      <c r="T103" s="287">
        <v>3</v>
      </c>
      <c r="U103" s="288">
        <v>3</v>
      </c>
      <c r="V103" s="287" t="s">
        <v>102</v>
      </c>
      <c r="W103" s="309">
        <v>0.5</v>
      </c>
      <c r="X103" s="324">
        <v>0.5</v>
      </c>
      <c r="Y103" s="289">
        <v>1</v>
      </c>
      <c r="Z103" s="291">
        <v>1</v>
      </c>
      <c r="AA103" s="292"/>
      <c r="AB103" s="293"/>
      <c r="AC103" s="293"/>
      <c r="AD103" s="293"/>
      <c r="AE103" s="293"/>
      <c r="AF103" s="293"/>
      <c r="AG103" s="293"/>
      <c r="AH103" s="293"/>
      <c r="AI103" s="293"/>
      <c r="AJ103" s="293"/>
      <c r="AK103" s="293"/>
      <c r="AL103" s="293"/>
      <c r="AM103" s="293"/>
      <c r="AN103" s="293"/>
      <c r="AO103" s="293"/>
      <c r="AP103" s="293"/>
      <c r="AQ103" s="293"/>
      <c r="AR103" s="293"/>
      <c r="AS103" s="293"/>
      <c r="AT103" s="293"/>
      <c r="AU103" s="293"/>
      <c r="AV103" s="293"/>
      <c r="AW103" s="293"/>
      <c r="AX103" s="293"/>
      <c r="AY103" s="293"/>
      <c r="AZ103" s="293"/>
      <c r="BA103" s="293"/>
      <c r="BB103" s="293"/>
      <c r="BC103" s="294"/>
      <c r="BD103" s="295" t="s">
        <v>699</v>
      </c>
      <c r="BS103" s="86" t="s">
        <v>240</v>
      </c>
      <c r="BT103" s="86" t="s">
        <v>241</v>
      </c>
      <c r="BU103" s="87" t="s">
        <v>789</v>
      </c>
      <c r="BV103" s="84" t="s">
        <v>787</v>
      </c>
      <c r="DH103" s="7" t="s">
        <v>794</v>
      </c>
      <c r="DI103" s="7" t="s">
        <v>84</v>
      </c>
      <c r="DJ103" s="7" t="s">
        <v>264</v>
      </c>
      <c r="DK103" s="7" t="s">
        <v>265</v>
      </c>
      <c r="DL103" s="7" t="s">
        <v>263</v>
      </c>
      <c r="DQ103" s="7" t="s">
        <v>789</v>
      </c>
      <c r="DR103" s="7" t="s">
        <v>787</v>
      </c>
      <c r="EL103" s="822" t="s">
        <v>793</v>
      </c>
      <c r="EM103" s="312" t="s">
        <v>791</v>
      </c>
      <c r="EN103" s="268" t="s">
        <v>792</v>
      </c>
      <c r="EO103" s="268">
        <v>3</v>
      </c>
      <c r="EP103" s="268">
        <v>3</v>
      </c>
      <c r="EQ103" s="270">
        <v>3</v>
      </c>
      <c r="ER103" s="270">
        <v>3</v>
      </c>
      <c r="ES103" s="269">
        <v>3</v>
      </c>
      <c r="ET103" s="820">
        <v>3</v>
      </c>
    </row>
    <row r="104" spans="1:150" ht="63.75" customHeight="1" x14ac:dyDescent="0.2">
      <c r="A104" s="271" t="s">
        <v>53</v>
      </c>
      <c r="B104" s="424" t="s">
        <v>54</v>
      </c>
      <c r="C104" s="425" t="s">
        <v>55</v>
      </c>
      <c r="D104" s="425"/>
      <c r="E104" s="8" t="s">
        <v>772</v>
      </c>
      <c r="F104" s="275" t="str">
        <f t="shared" si="26"/>
        <v>E1.P_H</v>
      </c>
      <c r="G104" s="448" t="s">
        <v>146</v>
      </c>
      <c r="H104" s="405" t="s">
        <v>265</v>
      </c>
      <c r="I104" s="588"/>
      <c r="J104" s="278" t="s">
        <v>61</v>
      </c>
      <c r="K104" s="279" t="str">
        <f t="shared" si="27"/>
        <v>E1.P_H.MR1</v>
      </c>
      <c r="L104" s="507" t="s">
        <v>241</v>
      </c>
      <c r="M104" s="508" t="s">
        <v>774</v>
      </c>
      <c r="N104" s="369">
        <v>952</v>
      </c>
      <c r="O104" s="282">
        <v>952</v>
      </c>
      <c r="P104" s="371" t="s">
        <v>132</v>
      </c>
      <c r="Q104" s="372" t="str">
        <f t="shared" si="28"/>
        <v>E1.P_H.MR1-MP06-1</v>
      </c>
      <c r="R104" s="416" t="s">
        <v>795</v>
      </c>
      <c r="S104" s="288" t="s">
        <v>796</v>
      </c>
      <c r="T104" s="287">
        <v>0</v>
      </c>
      <c r="U104" s="314">
        <v>1</v>
      </c>
      <c r="V104" s="313" t="s">
        <v>67</v>
      </c>
      <c r="W104" s="315">
        <v>0.25</v>
      </c>
      <c r="X104" s="316">
        <v>0.25</v>
      </c>
      <c r="Y104" s="315">
        <v>0.25</v>
      </c>
      <c r="Z104" s="317">
        <v>0.25</v>
      </c>
      <c r="AA104" s="318"/>
      <c r="AB104" s="319"/>
      <c r="AC104" s="319"/>
      <c r="AD104" s="319"/>
      <c r="AE104" s="319"/>
      <c r="AF104" s="319"/>
      <c r="AG104" s="319"/>
      <c r="AH104" s="319"/>
      <c r="AI104" s="319"/>
      <c r="AJ104" s="319"/>
      <c r="AK104" s="319"/>
      <c r="AL104" s="319"/>
      <c r="AM104" s="319"/>
      <c r="AN104" s="319"/>
      <c r="AO104" s="319"/>
      <c r="AP104" s="319"/>
      <c r="AQ104" s="319"/>
      <c r="AR104" s="319"/>
      <c r="AS104" s="319"/>
      <c r="AT104" s="319"/>
      <c r="AU104" s="319"/>
      <c r="AV104" s="319"/>
      <c r="AW104" s="319"/>
      <c r="AX104" s="319"/>
      <c r="AY104" s="319"/>
      <c r="AZ104" s="319"/>
      <c r="BA104" s="319"/>
      <c r="BB104" s="319"/>
      <c r="BC104" s="320"/>
      <c r="BD104" s="295" t="s">
        <v>699</v>
      </c>
      <c r="BS104" s="86" t="s">
        <v>240</v>
      </c>
      <c r="BT104" s="86" t="s">
        <v>241</v>
      </c>
      <c r="BU104" s="87" t="s">
        <v>793</v>
      </c>
      <c r="BV104" s="84" t="s">
        <v>791</v>
      </c>
      <c r="DH104" s="7" t="s">
        <v>798</v>
      </c>
      <c r="DI104" s="7" t="s">
        <v>84</v>
      </c>
      <c r="DJ104" s="7" t="s">
        <v>264</v>
      </c>
      <c r="DK104" s="7" t="s">
        <v>265</v>
      </c>
      <c r="DL104" s="7" t="s">
        <v>263</v>
      </c>
      <c r="DQ104" s="7" t="s">
        <v>793</v>
      </c>
      <c r="DR104" s="7" t="s">
        <v>791</v>
      </c>
      <c r="EL104" s="822" t="s">
        <v>797</v>
      </c>
      <c r="EM104" s="312" t="s">
        <v>795</v>
      </c>
      <c r="EN104" s="268" t="s">
        <v>796</v>
      </c>
      <c r="EO104" s="268">
        <v>0</v>
      </c>
      <c r="EP104" s="323">
        <v>100</v>
      </c>
      <c r="EQ104" s="323">
        <v>25</v>
      </c>
      <c r="ER104" s="323">
        <v>25</v>
      </c>
      <c r="ES104" s="323">
        <v>25</v>
      </c>
      <c r="ET104" s="819">
        <v>25</v>
      </c>
    </row>
    <row r="105" spans="1:150" ht="64.5" customHeight="1" thickBot="1" x14ac:dyDescent="0.25">
      <c r="A105" s="271" t="s">
        <v>53</v>
      </c>
      <c r="B105" s="424" t="s">
        <v>54</v>
      </c>
      <c r="C105" s="425" t="s">
        <v>55</v>
      </c>
      <c r="D105" s="425"/>
      <c r="E105" s="8" t="s">
        <v>772</v>
      </c>
      <c r="F105" s="275" t="str">
        <f t="shared" si="26"/>
        <v>E1.P_H</v>
      </c>
      <c r="G105" s="560" t="s">
        <v>146</v>
      </c>
      <c r="H105" s="421" t="s">
        <v>265</v>
      </c>
      <c r="I105" s="588"/>
      <c r="J105" s="335" t="s">
        <v>61</v>
      </c>
      <c r="K105" s="395" t="str">
        <f t="shared" si="27"/>
        <v>E1.P_H.MR1</v>
      </c>
      <c r="L105" s="543" t="s">
        <v>241</v>
      </c>
      <c r="M105" s="544" t="s">
        <v>774</v>
      </c>
      <c r="N105" s="383">
        <v>952</v>
      </c>
      <c r="O105" s="422">
        <v>952</v>
      </c>
      <c r="P105" s="371" t="s">
        <v>142</v>
      </c>
      <c r="Q105" s="386" t="str">
        <f t="shared" si="28"/>
        <v>E1.P_H.MR1-MP07-1</v>
      </c>
      <c r="R105" s="471" t="s">
        <v>799</v>
      </c>
      <c r="S105" s="333" t="s">
        <v>653</v>
      </c>
      <c r="T105" s="345">
        <v>0</v>
      </c>
      <c r="U105" s="346">
        <v>1</v>
      </c>
      <c r="V105" s="345" t="s">
        <v>67</v>
      </c>
      <c r="W105" s="389">
        <v>0.25</v>
      </c>
      <c r="X105" s="390">
        <v>0.25</v>
      </c>
      <c r="Y105" s="389">
        <v>0.25</v>
      </c>
      <c r="Z105" s="391">
        <v>0.25</v>
      </c>
      <c r="AA105" s="292"/>
      <c r="AB105" s="293"/>
      <c r="AC105" s="293"/>
      <c r="AD105" s="293"/>
      <c r="AE105" s="293"/>
      <c r="AF105" s="293"/>
      <c r="AG105" s="293"/>
      <c r="AH105" s="293"/>
      <c r="AI105" s="293"/>
      <c r="AJ105" s="293"/>
      <c r="AK105" s="293"/>
      <c r="AL105" s="293"/>
      <c r="AM105" s="293"/>
      <c r="AN105" s="293"/>
      <c r="AO105" s="293"/>
      <c r="AP105" s="293"/>
      <c r="AQ105" s="293"/>
      <c r="AR105" s="293"/>
      <c r="AS105" s="293"/>
      <c r="AT105" s="293"/>
      <c r="AU105" s="293"/>
      <c r="AV105" s="293"/>
      <c r="AW105" s="293"/>
      <c r="AX105" s="293"/>
      <c r="AY105" s="293"/>
      <c r="AZ105" s="293"/>
      <c r="BA105" s="293"/>
      <c r="BB105" s="293"/>
      <c r="BC105" s="294"/>
      <c r="BD105" s="295" t="s">
        <v>699</v>
      </c>
      <c r="BS105" s="86" t="s">
        <v>240</v>
      </c>
      <c r="BT105" s="86" t="s">
        <v>241</v>
      </c>
      <c r="BU105" s="87" t="s">
        <v>797</v>
      </c>
      <c r="BV105" s="84" t="s">
        <v>795</v>
      </c>
      <c r="DH105" s="7" t="s">
        <v>801</v>
      </c>
      <c r="DI105" s="7" t="s">
        <v>84</v>
      </c>
      <c r="DJ105" s="7" t="s">
        <v>264</v>
      </c>
      <c r="DK105" s="7" t="s">
        <v>265</v>
      </c>
      <c r="DL105" s="7" t="s">
        <v>263</v>
      </c>
      <c r="DQ105" s="7" t="s">
        <v>797</v>
      </c>
      <c r="DR105" s="7" t="s">
        <v>795</v>
      </c>
      <c r="EL105" s="822" t="s">
        <v>800</v>
      </c>
      <c r="EM105" s="312" t="s">
        <v>799</v>
      </c>
      <c r="EN105" s="268" t="s">
        <v>653</v>
      </c>
      <c r="EO105" s="268">
        <v>0</v>
      </c>
      <c r="EP105" s="268">
        <v>1</v>
      </c>
      <c r="EQ105" s="323">
        <v>0.25</v>
      </c>
      <c r="ER105" s="323">
        <v>0.25</v>
      </c>
      <c r="ES105" s="323">
        <v>0.25</v>
      </c>
      <c r="ET105" s="819">
        <v>0.25</v>
      </c>
    </row>
    <row r="106" spans="1:150" ht="117" customHeight="1" x14ac:dyDescent="0.2">
      <c r="A106" s="271" t="s">
        <v>53</v>
      </c>
      <c r="B106" s="424" t="s">
        <v>54</v>
      </c>
      <c r="C106" s="425" t="s">
        <v>55</v>
      </c>
      <c r="D106" s="232" t="s">
        <v>694</v>
      </c>
      <c r="E106" s="3" t="s">
        <v>802</v>
      </c>
      <c r="F106" s="427" t="str">
        <f t="shared" si="26"/>
        <v>E1.P_I</v>
      </c>
      <c r="G106" s="428" t="s">
        <v>160</v>
      </c>
      <c r="H106" s="473" t="s">
        <v>279</v>
      </c>
      <c r="I106" s="399" t="s">
        <v>803</v>
      </c>
      <c r="J106" s="430" t="s">
        <v>61</v>
      </c>
      <c r="K106" s="393" t="str">
        <f t="shared" si="27"/>
        <v>E1.P_I.MR1</v>
      </c>
      <c r="L106" s="355" t="s">
        <v>252</v>
      </c>
      <c r="M106" s="240" t="s">
        <v>804</v>
      </c>
      <c r="N106" s="357">
        <v>164</v>
      </c>
      <c r="O106" s="241">
        <v>131</v>
      </c>
      <c r="P106" s="371" t="s">
        <v>64</v>
      </c>
      <c r="Q106" s="360" t="str">
        <f t="shared" si="28"/>
        <v>E1.P_I.MR1-MP01-1</v>
      </c>
      <c r="R106" s="412" t="s">
        <v>805</v>
      </c>
      <c r="S106" s="364" t="s">
        <v>806</v>
      </c>
      <c r="T106" s="363">
        <v>164</v>
      </c>
      <c r="U106" s="364">
        <v>131</v>
      </c>
      <c r="V106" s="363" t="s">
        <v>807</v>
      </c>
      <c r="W106" s="249">
        <v>164</v>
      </c>
      <c r="X106" s="365">
        <v>154</v>
      </c>
      <c r="Y106" s="249">
        <v>144</v>
      </c>
      <c r="Z106" s="366">
        <v>131</v>
      </c>
      <c r="AA106" s="585">
        <f>14957800+42200+264000000</f>
        <v>279000000</v>
      </c>
      <c r="AB106" s="586"/>
      <c r="AC106" s="586">
        <v>0</v>
      </c>
      <c r="AD106" s="586"/>
      <c r="AE106" s="586"/>
      <c r="AF106" s="586"/>
      <c r="AG106" s="586">
        <f t="shared" ref="AG106" si="52">SUM(AA106:AF106)</f>
        <v>279000000</v>
      </c>
      <c r="AH106" s="586">
        <f t="shared" ref="AH106:AT106" si="53">+AA106</f>
        <v>279000000</v>
      </c>
      <c r="AI106" s="586">
        <f t="shared" si="53"/>
        <v>0</v>
      </c>
      <c r="AJ106" s="586">
        <f t="shared" si="53"/>
        <v>0</v>
      </c>
      <c r="AK106" s="586">
        <f t="shared" si="53"/>
        <v>0</v>
      </c>
      <c r="AL106" s="586">
        <f t="shared" si="53"/>
        <v>0</v>
      </c>
      <c r="AM106" s="586">
        <f t="shared" si="53"/>
        <v>0</v>
      </c>
      <c r="AN106" s="586">
        <f t="shared" si="53"/>
        <v>279000000</v>
      </c>
      <c r="AO106" s="586">
        <f t="shared" si="53"/>
        <v>279000000</v>
      </c>
      <c r="AP106" s="586">
        <f t="shared" si="53"/>
        <v>0</v>
      </c>
      <c r="AQ106" s="586">
        <f t="shared" si="53"/>
        <v>0</v>
      </c>
      <c r="AR106" s="586">
        <f t="shared" si="53"/>
        <v>0</v>
      </c>
      <c r="AS106" s="586">
        <f t="shared" si="53"/>
        <v>0</v>
      </c>
      <c r="AT106" s="586">
        <f t="shared" si="53"/>
        <v>0</v>
      </c>
      <c r="AU106" s="586">
        <f t="shared" ref="AU106" si="54">SUM(AO106:AT106)</f>
        <v>279000000</v>
      </c>
      <c r="AV106" s="586">
        <f t="shared" ref="AV106:BA106" si="55">+AO106</f>
        <v>279000000</v>
      </c>
      <c r="AW106" s="586">
        <f t="shared" si="55"/>
        <v>0</v>
      </c>
      <c r="AX106" s="586">
        <f t="shared" si="55"/>
        <v>0</v>
      </c>
      <c r="AY106" s="586">
        <f t="shared" si="55"/>
        <v>0</v>
      </c>
      <c r="AZ106" s="586">
        <f t="shared" si="55"/>
        <v>0</v>
      </c>
      <c r="BA106" s="586">
        <f t="shared" si="55"/>
        <v>0</v>
      </c>
      <c r="BB106" s="586">
        <f t="shared" ref="BB106" si="56">SUM(AV106:BA106)</f>
        <v>279000000</v>
      </c>
      <c r="BC106" s="587">
        <f t="shared" ref="BC106" si="57">+BB106+AU106+AN106+AG106</f>
        <v>1116000000</v>
      </c>
      <c r="BD106" s="295" t="s">
        <v>699</v>
      </c>
      <c r="BS106" s="86" t="s">
        <v>240</v>
      </c>
      <c r="BT106" s="86" t="s">
        <v>241</v>
      </c>
      <c r="BU106" s="87" t="s">
        <v>800</v>
      </c>
      <c r="BV106" s="84" t="s">
        <v>799</v>
      </c>
      <c r="DH106" s="7" t="s">
        <v>809</v>
      </c>
      <c r="DI106" s="7" t="s">
        <v>84</v>
      </c>
      <c r="DJ106" s="7" t="s">
        <v>264</v>
      </c>
      <c r="DK106" s="7" t="s">
        <v>265</v>
      </c>
      <c r="DL106" s="7" t="s">
        <v>263</v>
      </c>
      <c r="DQ106" s="7" t="s">
        <v>800</v>
      </c>
      <c r="DR106" s="7" t="s">
        <v>799</v>
      </c>
      <c r="EL106" s="822" t="s">
        <v>808</v>
      </c>
      <c r="EM106" s="312" t="s">
        <v>805</v>
      </c>
      <c r="EN106" s="268" t="s">
        <v>806</v>
      </c>
      <c r="EO106" s="268">
        <v>164</v>
      </c>
      <c r="EP106" s="268">
        <v>131</v>
      </c>
      <c r="EQ106" s="269">
        <v>164</v>
      </c>
      <c r="ER106" s="269">
        <v>154</v>
      </c>
      <c r="ES106" s="269">
        <v>144</v>
      </c>
      <c r="ET106" s="820">
        <v>131</v>
      </c>
    </row>
    <row r="107" spans="1:150" ht="30" customHeight="1" x14ac:dyDescent="0.2">
      <c r="A107" s="271" t="s">
        <v>53</v>
      </c>
      <c r="B107" s="424" t="s">
        <v>54</v>
      </c>
      <c r="C107" s="425" t="s">
        <v>55</v>
      </c>
      <c r="D107" s="425"/>
      <c r="E107" s="8" t="s">
        <v>802</v>
      </c>
      <c r="F107" s="275" t="str">
        <f t="shared" si="26"/>
        <v>E1.P_I</v>
      </c>
      <c r="G107" s="448" t="s">
        <v>160</v>
      </c>
      <c r="H107" s="448" t="s">
        <v>279</v>
      </c>
      <c r="I107" s="438"/>
      <c r="J107" s="278" t="s">
        <v>61</v>
      </c>
      <c r="K107" s="279" t="str">
        <f t="shared" si="27"/>
        <v>E1.P_I.MR1</v>
      </c>
      <c r="L107" s="589" t="s">
        <v>252</v>
      </c>
      <c r="M107" s="590" t="s">
        <v>804</v>
      </c>
      <c r="N107" s="369">
        <v>164</v>
      </c>
      <c r="O107" s="282">
        <v>131</v>
      </c>
      <c r="P107" s="371" t="s">
        <v>87</v>
      </c>
      <c r="Q107" s="372" t="str">
        <f t="shared" si="28"/>
        <v>E1.P_I.MR1-MP02-1</v>
      </c>
      <c r="R107" s="416" t="s">
        <v>810</v>
      </c>
      <c r="S107" s="288" t="s">
        <v>811</v>
      </c>
      <c r="T107" s="287">
        <v>1</v>
      </c>
      <c r="U107" s="288">
        <v>1</v>
      </c>
      <c r="V107" s="287" t="s">
        <v>102</v>
      </c>
      <c r="W107" s="315">
        <v>0.25</v>
      </c>
      <c r="X107" s="316">
        <v>0.25</v>
      </c>
      <c r="Y107" s="315">
        <v>0.25</v>
      </c>
      <c r="Z107" s="317">
        <v>0.25</v>
      </c>
      <c r="AA107" s="292"/>
      <c r="AB107" s="293"/>
      <c r="AC107" s="293"/>
      <c r="AD107" s="293"/>
      <c r="AE107" s="293"/>
      <c r="AF107" s="293"/>
      <c r="AG107" s="293"/>
      <c r="AH107" s="293"/>
      <c r="AI107" s="293"/>
      <c r="AJ107" s="293"/>
      <c r="AK107" s="293"/>
      <c r="AL107" s="293"/>
      <c r="AM107" s="293"/>
      <c r="AN107" s="293"/>
      <c r="AO107" s="293"/>
      <c r="AP107" s="293"/>
      <c r="AQ107" s="293"/>
      <c r="AR107" s="293"/>
      <c r="AS107" s="293"/>
      <c r="AT107" s="293"/>
      <c r="AU107" s="293"/>
      <c r="AV107" s="293"/>
      <c r="AW107" s="293"/>
      <c r="AX107" s="293"/>
      <c r="AY107" s="293"/>
      <c r="AZ107" s="293"/>
      <c r="BA107" s="293"/>
      <c r="BB107" s="293"/>
      <c r="BC107" s="294"/>
      <c r="BD107" s="295" t="s">
        <v>699</v>
      </c>
      <c r="BS107" s="84" t="s">
        <v>251</v>
      </c>
      <c r="BT107" s="84" t="s">
        <v>252</v>
      </c>
      <c r="BU107" s="87" t="s">
        <v>808</v>
      </c>
      <c r="BV107" s="84" t="s">
        <v>805</v>
      </c>
      <c r="DH107" s="7" t="s">
        <v>813</v>
      </c>
      <c r="DI107" s="7" t="s">
        <v>84</v>
      </c>
      <c r="DJ107" s="7" t="s">
        <v>278</v>
      </c>
      <c r="DK107" s="7" t="s">
        <v>279</v>
      </c>
      <c r="DL107" s="7" t="s">
        <v>277</v>
      </c>
      <c r="DQ107" s="7" t="s">
        <v>808</v>
      </c>
      <c r="DR107" s="7" t="s">
        <v>805</v>
      </c>
      <c r="EL107" s="822" t="s">
        <v>812</v>
      </c>
      <c r="EM107" s="312" t="s">
        <v>810</v>
      </c>
      <c r="EN107" s="268" t="s">
        <v>811</v>
      </c>
      <c r="EO107" s="268">
        <v>1</v>
      </c>
      <c r="EP107" s="268">
        <v>1</v>
      </c>
      <c r="EQ107" s="323">
        <v>1</v>
      </c>
      <c r="ER107" s="323">
        <v>1</v>
      </c>
      <c r="ES107" s="323">
        <v>1</v>
      </c>
      <c r="ET107" s="819">
        <v>1</v>
      </c>
    </row>
    <row r="108" spans="1:150" ht="51" customHeight="1" thickBot="1" x14ac:dyDescent="0.25">
      <c r="A108" s="271" t="s">
        <v>53</v>
      </c>
      <c r="B108" s="424" t="s">
        <v>54</v>
      </c>
      <c r="C108" s="425" t="s">
        <v>55</v>
      </c>
      <c r="D108" s="425"/>
      <c r="E108" s="8" t="s">
        <v>802</v>
      </c>
      <c r="F108" s="275" t="str">
        <f t="shared" si="26"/>
        <v>E1.P_I</v>
      </c>
      <c r="G108" s="560" t="s">
        <v>160</v>
      </c>
      <c r="H108" s="560" t="s">
        <v>279</v>
      </c>
      <c r="I108" s="442"/>
      <c r="J108" s="335" t="s">
        <v>61</v>
      </c>
      <c r="K108" s="395" t="str">
        <f t="shared" si="27"/>
        <v>E1.P_I.MR1</v>
      </c>
      <c r="L108" s="591" t="s">
        <v>252</v>
      </c>
      <c r="M108" s="590" t="s">
        <v>804</v>
      </c>
      <c r="N108" s="383">
        <v>164</v>
      </c>
      <c r="O108" s="422">
        <v>131</v>
      </c>
      <c r="P108" s="371" t="s">
        <v>99</v>
      </c>
      <c r="Q108" s="386" t="str">
        <f t="shared" si="28"/>
        <v>E1.P_I.MR1-MP03-1</v>
      </c>
      <c r="R108" s="471" t="s">
        <v>814</v>
      </c>
      <c r="S108" s="333" t="s">
        <v>815</v>
      </c>
      <c r="T108" s="345">
        <v>1</v>
      </c>
      <c r="U108" s="346">
        <v>1</v>
      </c>
      <c r="V108" s="345" t="s">
        <v>102</v>
      </c>
      <c r="W108" s="389">
        <v>0.25</v>
      </c>
      <c r="X108" s="390">
        <v>0.25</v>
      </c>
      <c r="Y108" s="389">
        <v>0.25</v>
      </c>
      <c r="Z108" s="391">
        <v>0.25</v>
      </c>
      <c r="AA108" s="292"/>
      <c r="AB108" s="293"/>
      <c r="AC108" s="293"/>
      <c r="AD108" s="293"/>
      <c r="AE108" s="293"/>
      <c r="AF108" s="293"/>
      <c r="AG108" s="293"/>
      <c r="AH108" s="293"/>
      <c r="AI108" s="293"/>
      <c r="AJ108" s="293"/>
      <c r="AK108" s="293"/>
      <c r="AL108" s="293"/>
      <c r="AM108" s="293"/>
      <c r="AN108" s="293"/>
      <c r="AO108" s="293"/>
      <c r="AP108" s="293"/>
      <c r="AQ108" s="293"/>
      <c r="AR108" s="293"/>
      <c r="AS108" s="293"/>
      <c r="AT108" s="293"/>
      <c r="AU108" s="293"/>
      <c r="AV108" s="293"/>
      <c r="AW108" s="293"/>
      <c r="AX108" s="293"/>
      <c r="AY108" s="293"/>
      <c r="AZ108" s="293"/>
      <c r="BA108" s="293"/>
      <c r="BB108" s="293"/>
      <c r="BC108" s="294"/>
      <c r="BD108" s="295" t="s">
        <v>699</v>
      </c>
      <c r="BS108" s="86" t="s">
        <v>251</v>
      </c>
      <c r="BT108" s="86" t="s">
        <v>252</v>
      </c>
      <c r="BU108" s="87" t="s">
        <v>812</v>
      </c>
      <c r="BV108" s="84" t="s">
        <v>810</v>
      </c>
      <c r="DH108" s="7" t="s">
        <v>817</v>
      </c>
      <c r="DI108" s="7" t="s">
        <v>84</v>
      </c>
      <c r="DJ108" s="7" t="s">
        <v>278</v>
      </c>
      <c r="DK108" s="7" t="s">
        <v>279</v>
      </c>
      <c r="DL108" s="7" t="s">
        <v>277</v>
      </c>
      <c r="DQ108" s="7" t="s">
        <v>812</v>
      </c>
      <c r="DR108" s="7" t="s">
        <v>810</v>
      </c>
      <c r="EL108" s="822" t="s">
        <v>816</v>
      </c>
      <c r="EM108" s="312" t="s">
        <v>814</v>
      </c>
      <c r="EN108" s="268" t="s">
        <v>815</v>
      </c>
      <c r="EO108" s="268">
        <v>1</v>
      </c>
      <c r="EP108" s="268">
        <v>1</v>
      </c>
      <c r="EQ108" s="323">
        <v>1</v>
      </c>
      <c r="ER108" s="323">
        <v>1</v>
      </c>
      <c r="ES108" s="323">
        <v>1</v>
      </c>
      <c r="ET108" s="819">
        <v>1</v>
      </c>
    </row>
    <row r="109" spans="1:150" ht="145.5" customHeight="1" x14ac:dyDescent="0.2">
      <c r="A109" s="271" t="s">
        <v>53</v>
      </c>
      <c r="B109" s="424" t="s">
        <v>54</v>
      </c>
      <c r="C109" s="425" t="s">
        <v>55</v>
      </c>
      <c r="D109" s="426" t="s">
        <v>694</v>
      </c>
      <c r="E109" s="3" t="s">
        <v>818</v>
      </c>
      <c r="F109" s="427" t="str">
        <f t="shared" si="26"/>
        <v>E1.P_J</v>
      </c>
      <c r="G109" s="428" t="s">
        <v>172</v>
      </c>
      <c r="H109" s="473" t="s">
        <v>290</v>
      </c>
      <c r="I109" s="399" t="s">
        <v>819</v>
      </c>
      <c r="J109" s="430" t="s">
        <v>61</v>
      </c>
      <c r="K109" s="393" t="str">
        <f t="shared" si="27"/>
        <v>E1.P_J.MR1</v>
      </c>
      <c r="L109" s="355" t="s">
        <v>261</v>
      </c>
      <c r="M109" s="356" t="s">
        <v>532</v>
      </c>
      <c r="N109" s="357">
        <v>260</v>
      </c>
      <c r="O109" s="241">
        <v>318</v>
      </c>
      <c r="P109" s="371" t="s">
        <v>64</v>
      </c>
      <c r="Q109" s="360" t="str">
        <f t="shared" si="28"/>
        <v>E1.P_J.MR1-MP01-1</v>
      </c>
      <c r="R109" s="412" t="s">
        <v>820</v>
      </c>
      <c r="S109" s="364" t="s">
        <v>653</v>
      </c>
      <c r="T109" s="363">
        <v>0</v>
      </c>
      <c r="U109" s="364">
        <v>1</v>
      </c>
      <c r="V109" s="363" t="s">
        <v>67</v>
      </c>
      <c r="W109" s="251">
        <v>0.2</v>
      </c>
      <c r="X109" s="250">
        <v>0.3</v>
      </c>
      <c r="Y109" s="557">
        <v>0.25</v>
      </c>
      <c r="Z109" s="559">
        <v>0.25</v>
      </c>
      <c r="AA109" s="585">
        <f>78000000+22000000+78158650+61480775+360575</f>
        <v>240000000</v>
      </c>
      <c r="AB109" s="586"/>
      <c r="AC109" s="586">
        <v>0</v>
      </c>
      <c r="AD109" s="586"/>
      <c r="AE109" s="586"/>
      <c r="AF109" s="586"/>
      <c r="AG109" s="586">
        <f>SUM(AA109:AF109)</f>
        <v>240000000</v>
      </c>
      <c r="AH109" s="586">
        <f t="shared" ref="AH109:AT109" si="58">+AA109</f>
        <v>240000000</v>
      </c>
      <c r="AI109" s="586">
        <f t="shared" si="58"/>
        <v>0</v>
      </c>
      <c r="AJ109" s="586">
        <f t="shared" si="58"/>
        <v>0</v>
      </c>
      <c r="AK109" s="586">
        <f t="shared" si="58"/>
        <v>0</v>
      </c>
      <c r="AL109" s="586">
        <f t="shared" si="58"/>
        <v>0</v>
      </c>
      <c r="AM109" s="586">
        <f t="shared" si="58"/>
        <v>0</v>
      </c>
      <c r="AN109" s="586">
        <f t="shared" si="58"/>
        <v>240000000</v>
      </c>
      <c r="AO109" s="586">
        <f t="shared" si="58"/>
        <v>240000000</v>
      </c>
      <c r="AP109" s="586">
        <f t="shared" si="58"/>
        <v>0</v>
      </c>
      <c r="AQ109" s="586">
        <f t="shared" si="58"/>
        <v>0</v>
      </c>
      <c r="AR109" s="586">
        <f t="shared" si="58"/>
        <v>0</v>
      </c>
      <c r="AS109" s="586">
        <f t="shared" si="58"/>
        <v>0</v>
      </c>
      <c r="AT109" s="586">
        <f t="shared" si="58"/>
        <v>0</v>
      </c>
      <c r="AU109" s="586">
        <f t="shared" ref="AU109" si="59">SUM(AO109:AT109)</f>
        <v>240000000</v>
      </c>
      <c r="AV109" s="586">
        <f t="shared" ref="AV109:BA109" si="60">+AO109</f>
        <v>240000000</v>
      </c>
      <c r="AW109" s="586">
        <f t="shared" si="60"/>
        <v>0</v>
      </c>
      <c r="AX109" s="586">
        <f t="shared" si="60"/>
        <v>0</v>
      </c>
      <c r="AY109" s="586">
        <f t="shared" si="60"/>
        <v>0</v>
      </c>
      <c r="AZ109" s="586">
        <f t="shared" si="60"/>
        <v>0</v>
      </c>
      <c r="BA109" s="586">
        <f t="shared" si="60"/>
        <v>0</v>
      </c>
      <c r="BB109" s="586">
        <f t="shared" ref="BB109" si="61">SUM(AV109:BA109)</f>
        <v>240000000</v>
      </c>
      <c r="BC109" s="587">
        <f t="shared" ref="BC109" si="62">+BB109+AU109+AN109+AG109</f>
        <v>960000000</v>
      </c>
      <c r="BD109" s="295" t="s">
        <v>699</v>
      </c>
      <c r="BS109" s="86" t="s">
        <v>251</v>
      </c>
      <c r="BT109" s="86" t="s">
        <v>252</v>
      </c>
      <c r="BU109" s="87" t="s">
        <v>816</v>
      </c>
      <c r="BV109" s="84" t="s">
        <v>814</v>
      </c>
      <c r="DH109" s="7" t="s">
        <v>822</v>
      </c>
      <c r="DI109" s="7" t="s">
        <v>84</v>
      </c>
      <c r="DJ109" s="7" t="s">
        <v>278</v>
      </c>
      <c r="DK109" s="7" t="s">
        <v>279</v>
      </c>
      <c r="DL109" s="7" t="s">
        <v>277</v>
      </c>
      <c r="DQ109" s="7" t="s">
        <v>816</v>
      </c>
      <c r="DR109" s="7" t="s">
        <v>814</v>
      </c>
      <c r="EL109" s="822" t="s">
        <v>821</v>
      </c>
      <c r="EM109" s="312" t="s">
        <v>820</v>
      </c>
      <c r="EN109" s="268" t="s">
        <v>653</v>
      </c>
      <c r="EO109" s="268">
        <v>0</v>
      </c>
      <c r="EP109" s="268">
        <v>1</v>
      </c>
      <c r="EQ109" s="270">
        <v>0.2</v>
      </c>
      <c r="ER109" s="270">
        <v>0.3</v>
      </c>
      <c r="ES109" s="323">
        <v>0.25</v>
      </c>
      <c r="ET109" s="819">
        <v>0.25</v>
      </c>
    </row>
    <row r="110" spans="1:150" ht="66.75" customHeight="1" thickBot="1" x14ac:dyDescent="0.25">
      <c r="A110" s="271" t="s">
        <v>53</v>
      </c>
      <c r="B110" s="592" t="s">
        <v>54</v>
      </c>
      <c r="C110" s="593" t="s">
        <v>55</v>
      </c>
      <c r="D110" s="593"/>
      <c r="E110" s="21" t="s">
        <v>818</v>
      </c>
      <c r="F110" s="594" t="str">
        <f t="shared" si="26"/>
        <v>E1.P_J</v>
      </c>
      <c r="G110" s="560" t="s">
        <v>172</v>
      </c>
      <c r="H110" s="560" t="s">
        <v>290</v>
      </c>
      <c r="I110" s="491"/>
      <c r="J110" s="278" t="s">
        <v>61</v>
      </c>
      <c r="K110" s="279" t="str">
        <f t="shared" si="27"/>
        <v>E1.P_J.MR1</v>
      </c>
      <c r="L110" s="404" t="s">
        <v>261</v>
      </c>
      <c r="M110" s="405" t="s">
        <v>532</v>
      </c>
      <c r="N110" s="383">
        <v>260</v>
      </c>
      <c r="O110" s="422">
        <v>318</v>
      </c>
      <c r="P110" s="371" t="s">
        <v>87</v>
      </c>
      <c r="Q110" s="386" t="str">
        <f t="shared" si="28"/>
        <v>E1.P_J.MR1-MP02-1</v>
      </c>
      <c r="R110" s="471" t="s">
        <v>823</v>
      </c>
      <c r="S110" s="333" t="s">
        <v>653</v>
      </c>
      <c r="T110" s="345">
        <v>1</v>
      </c>
      <c r="U110" s="346">
        <v>1</v>
      </c>
      <c r="V110" s="345" t="s">
        <v>102</v>
      </c>
      <c r="W110" s="389">
        <v>0.25</v>
      </c>
      <c r="X110" s="390">
        <v>0.25</v>
      </c>
      <c r="Y110" s="389">
        <v>0.25</v>
      </c>
      <c r="Z110" s="391">
        <v>0.25</v>
      </c>
      <c r="AA110" s="595"/>
      <c r="AB110" s="596"/>
      <c r="AC110" s="596"/>
      <c r="AD110" s="596"/>
      <c r="AE110" s="596"/>
      <c r="AF110" s="596"/>
      <c r="AG110" s="596"/>
      <c r="AH110" s="596"/>
      <c r="AI110" s="596"/>
      <c r="AJ110" s="596"/>
      <c r="AK110" s="596"/>
      <c r="AL110" s="596"/>
      <c r="AM110" s="596"/>
      <c r="AN110" s="596"/>
      <c r="AO110" s="596"/>
      <c r="AP110" s="596"/>
      <c r="AQ110" s="596"/>
      <c r="AR110" s="596"/>
      <c r="AS110" s="596"/>
      <c r="AT110" s="596"/>
      <c r="AU110" s="596"/>
      <c r="AV110" s="596"/>
      <c r="AW110" s="596"/>
      <c r="AX110" s="596"/>
      <c r="AY110" s="596"/>
      <c r="AZ110" s="596"/>
      <c r="BA110" s="596"/>
      <c r="BB110" s="596"/>
      <c r="BC110" s="597"/>
      <c r="BD110" s="295" t="s">
        <v>699</v>
      </c>
      <c r="BS110" s="84" t="s">
        <v>260</v>
      </c>
      <c r="BT110" s="84" t="s">
        <v>261</v>
      </c>
      <c r="BU110" s="87" t="s">
        <v>821</v>
      </c>
      <c r="BV110" s="84" t="s">
        <v>820</v>
      </c>
      <c r="DH110" s="7" t="s">
        <v>825</v>
      </c>
      <c r="DI110" s="7" t="s">
        <v>84</v>
      </c>
      <c r="DJ110" s="7" t="s">
        <v>289</v>
      </c>
      <c r="DK110" s="7" t="s">
        <v>290</v>
      </c>
      <c r="DL110" s="7" t="s">
        <v>288</v>
      </c>
      <c r="DQ110" s="7" t="s">
        <v>821</v>
      </c>
      <c r="DR110" s="7" t="s">
        <v>820</v>
      </c>
      <c r="EL110" s="822" t="s">
        <v>824</v>
      </c>
      <c r="EM110" s="312" t="s">
        <v>823</v>
      </c>
      <c r="EN110" s="268" t="s">
        <v>653</v>
      </c>
      <c r="EO110" s="268">
        <v>1</v>
      </c>
      <c r="EP110" s="268">
        <v>1</v>
      </c>
      <c r="EQ110" s="323">
        <v>1</v>
      </c>
      <c r="ER110" s="323">
        <v>1</v>
      </c>
      <c r="ES110" s="323">
        <v>1</v>
      </c>
      <c r="ET110" s="819">
        <v>1</v>
      </c>
    </row>
    <row r="111" spans="1:150" ht="144.75" customHeight="1" x14ac:dyDescent="0.2">
      <c r="A111" s="229" t="s">
        <v>76</v>
      </c>
      <c r="B111" s="598" t="s">
        <v>77</v>
      </c>
      <c r="C111" s="599" t="s">
        <v>826</v>
      </c>
      <c r="D111" s="426" t="s">
        <v>827</v>
      </c>
      <c r="E111" s="3" t="s">
        <v>57</v>
      </c>
      <c r="F111" s="427" t="str">
        <f t="shared" si="26"/>
        <v>E2.P_A</v>
      </c>
      <c r="G111" s="600" t="s">
        <v>181</v>
      </c>
      <c r="H111" s="356" t="s">
        <v>302</v>
      </c>
      <c r="I111" s="601" t="s">
        <v>828</v>
      </c>
      <c r="J111" s="430" t="s">
        <v>61</v>
      </c>
      <c r="K111" s="393" t="str">
        <f t="shared" si="27"/>
        <v>E2.P_A.MR1</v>
      </c>
      <c r="L111" s="355" t="s">
        <v>275</v>
      </c>
      <c r="M111" s="356" t="s">
        <v>829</v>
      </c>
      <c r="N111" s="602">
        <v>4.7500000000000001E-2</v>
      </c>
      <c r="O111" s="602">
        <v>4.4999999999999998E-2</v>
      </c>
      <c r="P111" s="603" t="s">
        <v>64</v>
      </c>
      <c r="Q111" s="604" t="str">
        <f t="shared" si="28"/>
        <v>E2.P_A.MR1-MP01-1</v>
      </c>
      <c r="R111" s="412" t="s">
        <v>830</v>
      </c>
      <c r="S111" s="362" t="s">
        <v>831</v>
      </c>
      <c r="T111" s="363">
        <v>0</v>
      </c>
      <c r="U111" s="364">
        <v>1</v>
      </c>
      <c r="V111" s="363" t="s">
        <v>102</v>
      </c>
      <c r="W111" s="249">
        <v>1</v>
      </c>
      <c r="X111" s="365">
        <v>1</v>
      </c>
      <c r="Y111" s="249">
        <v>1</v>
      </c>
      <c r="Z111" s="366">
        <v>1</v>
      </c>
      <c r="AA111" s="253">
        <v>30000000</v>
      </c>
      <c r="AB111" s="254">
        <v>0</v>
      </c>
      <c r="AC111" s="254">
        <v>0</v>
      </c>
      <c r="AD111" s="254">
        <v>0</v>
      </c>
      <c r="AE111" s="254">
        <v>0</v>
      </c>
      <c r="AF111" s="254">
        <v>0</v>
      </c>
      <c r="AG111" s="254">
        <f>SUM(AA111:AF111)</f>
        <v>30000000</v>
      </c>
      <c r="AH111" s="254">
        <f t="shared" ref="AH111:AM111" si="63">AA111*1.035</f>
        <v>31049999.999999996</v>
      </c>
      <c r="AI111" s="254">
        <f t="shared" si="63"/>
        <v>0</v>
      </c>
      <c r="AJ111" s="254">
        <f t="shared" si="63"/>
        <v>0</v>
      </c>
      <c r="AK111" s="254">
        <f t="shared" si="63"/>
        <v>0</v>
      </c>
      <c r="AL111" s="254">
        <f t="shared" si="63"/>
        <v>0</v>
      </c>
      <c r="AM111" s="254">
        <f t="shared" si="63"/>
        <v>0</v>
      </c>
      <c r="AN111" s="254">
        <f t="shared" ref="AN111" si="64">SUM(AH111:AM111)</f>
        <v>31049999.999999996</v>
      </c>
      <c r="AO111" s="254">
        <f>AH111*1.035</f>
        <v>32136749.999999993</v>
      </c>
      <c r="AP111" s="254">
        <f t="shared" ref="AP111:AT111" si="65">AI111*1.035</f>
        <v>0</v>
      </c>
      <c r="AQ111" s="254">
        <f t="shared" si="65"/>
        <v>0</v>
      </c>
      <c r="AR111" s="254">
        <f t="shared" si="65"/>
        <v>0</v>
      </c>
      <c r="AS111" s="254">
        <f t="shared" si="65"/>
        <v>0</v>
      </c>
      <c r="AT111" s="254">
        <f t="shared" si="65"/>
        <v>0</v>
      </c>
      <c r="AU111" s="254">
        <f>SUM(AO111:AT111)</f>
        <v>32136749.999999993</v>
      </c>
      <c r="AV111" s="254">
        <f>AO111*1.035</f>
        <v>33261536.249999989</v>
      </c>
      <c r="AW111" s="254">
        <f t="shared" ref="AW111:BA111" si="66">AP111*1.035</f>
        <v>0</v>
      </c>
      <c r="AX111" s="254">
        <f t="shared" si="66"/>
        <v>0</v>
      </c>
      <c r="AY111" s="254">
        <f t="shared" si="66"/>
        <v>0</v>
      </c>
      <c r="AZ111" s="254">
        <f t="shared" si="66"/>
        <v>0</v>
      </c>
      <c r="BA111" s="254">
        <f t="shared" si="66"/>
        <v>0</v>
      </c>
      <c r="BB111" s="254">
        <f>SUM(AV111:BA111)</f>
        <v>33261536.249999989</v>
      </c>
      <c r="BC111" s="255">
        <f t="shared" ref="BC111" si="67">+AG111+AN111+AU111+BB111</f>
        <v>126448286.24999999</v>
      </c>
      <c r="BD111" s="295" t="s">
        <v>832</v>
      </c>
      <c r="BS111" s="86" t="s">
        <v>260</v>
      </c>
      <c r="BT111" s="86" t="s">
        <v>261</v>
      </c>
      <c r="BU111" s="87" t="s">
        <v>824</v>
      </c>
      <c r="BV111" s="84" t="s">
        <v>823</v>
      </c>
      <c r="DH111" s="7" t="s">
        <v>834</v>
      </c>
      <c r="DI111" s="7" t="s">
        <v>84</v>
      </c>
      <c r="DJ111" s="7" t="s">
        <v>289</v>
      </c>
      <c r="DK111" s="7" t="s">
        <v>290</v>
      </c>
      <c r="DL111" s="7" t="s">
        <v>288</v>
      </c>
      <c r="DQ111" s="7" t="s">
        <v>824</v>
      </c>
      <c r="DR111" s="7" t="s">
        <v>823</v>
      </c>
      <c r="EL111" s="832" t="s">
        <v>833</v>
      </c>
      <c r="EM111" s="312" t="s">
        <v>830</v>
      </c>
      <c r="EN111" s="268" t="s">
        <v>831</v>
      </c>
      <c r="EO111" s="268">
        <v>0</v>
      </c>
      <c r="EP111" s="268">
        <v>1</v>
      </c>
      <c r="EQ111" s="269">
        <v>1</v>
      </c>
      <c r="ER111" s="269">
        <v>1</v>
      </c>
      <c r="ES111" s="269">
        <v>1</v>
      </c>
      <c r="ET111" s="820">
        <v>1</v>
      </c>
    </row>
    <row r="112" spans="1:150" ht="36.75" customHeight="1" x14ac:dyDescent="0.2">
      <c r="A112" s="271" t="s">
        <v>76</v>
      </c>
      <c r="B112" s="424" t="s">
        <v>77</v>
      </c>
      <c r="C112" s="425" t="s">
        <v>826</v>
      </c>
      <c r="D112" s="425"/>
      <c r="E112" s="8" t="s">
        <v>57</v>
      </c>
      <c r="F112" s="275" t="str">
        <f t="shared" si="26"/>
        <v>E2.P_A</v>
      </c>
      <c r="G112" s="485" t="s">
        <v>181</v>
      </c>
      <c r="H112" s="605" t="s">
        <v>302</v>
      </c>
      <c r="I112" s="588"/>
      <c r="J112" s="278" t="s">
        <v>61</v>
      </c>
      <c r="K112" s="279" t="str">
        <f t="shared" si="27"/>
        <v>E2.P_A.MR1</v>
      </c>
      <c r="L112" s="404" t="s">
        <v>275</v>
      </c>
      <c r="M112" s="405" t="s">
        <v>829</v>
      </c>
      <c r="N112" s="606">
        <v>4.7500000000000001E-2</v>
      </c>
      <c r="O112" s="606">
        <v>4.4999999999999998E-2</v>
      </c>
      <c r="P112" s="371" t="s">
        <v>87</v>
      </c>
      <c r="Q112" s="372" t="str">
        <f t="shared" si="28"/>
        <v>E2.P_A.MR1-MP02-1</v>
      </c>
      <c r="R112" s="416" t="s">
        <v>835</v>
      </c>
      <c r="S112" s="308" t="s">
        <v>836</v>
      </c>
      <c r="T112" s="287">
        <v>0</v>
      </c>
      <c r="U112" s="288">
        <v>1</v>
      </c>
      <c r="V112" s="287" t="s">
        <v>102</v>
      </c>
      <c r="W112" s="289">
        <v>0</v>
      </c>
      <c r="X112" s="290">
        <v>1</v>
      </c>
      <c r="Y112" s="289">
        <v>1</v>
      </c>
      <c r="Z112" s="291">
        <v>1</v>
      </c>
      <c r="AA112" s="292"/>
      <c r="AB112" s="293"/>
      <c r="AC112" s="293"/>
      <c r="AD112" s="293"/>
      <c r="AE112" s="293"/>
      <c r="AF112" s="293"/>
      <c r="AG112" s="293"/>
      <c r="AH112" s="293"/>
      <c r="AI112" s="293"/>
      <c r="AJ112" s="293"/>
      <c r="AK112" s="293"/>
      <c r="AL112" s="293"/>
      <c r="AM112" s="293"/>
      <c r="AN112" s="293"/>
      <c r="AO112" s="293"/>
      <c r="AP112" s="293"/>
      <c r="AQ112" s="293"/>
      <c r="AR112" s="293"/>
      <c r="AS112" s="293"/>
      <c r="AT112" s="293"/>
      <c r="AU112" s="293"/>
      <c r="AV112" s="293"/>
      <c r="AW112" s="293"/>
      <c r="AX112" s="293"/>
      <c r="AY112" s="293"/>
      <c r="AZ112" s="293"/>
      <c r="BA112" s="293"/>
      <c r="BB112" s="293"/>
      <c r="BC112" s="294"/>
      <c r="BD112" s="295" t="s">
        <v>832</v>
      </c>
      <c r="BS112" s="84" t="s">
        <v>274</v>
      </c>
      <c r="BT112" s="84" t="s">
        <v>275</v>
      </c>
      <c r="BU112" s="85" t="s">
        <v>833</v>
      </c>
      <c r="BV112" s="84" t="s">
        <v>830</v>
      </c>
      <c r="DH112" s="7" t="s">
        <v>838</v>
      </c>
      <c r="DI112" s="7" t="s">
        <v>300</v>
      </c>
      <c r="DJ112" s="7" t="s">
        <v>301</v>
      </c>
      <c r="DK112" s="7" t="s">
        <v>302</v>
      </c>
      <c r="DL112" s="7" t="s">
        <v>299</v>
      </c>
      <c r="DQ112" s="7" t="s">
        <v>833</v>
      </c>
      <c r="DR112" s="7" t="s">
        <v>830</v>
      </c>
      <c r="EL112" s="822" t="s">
        <v>837</v>
      </c>
      <c r="EM112" s="312" t="s">
        <v>835</v>
      </c>
      <c r="EN112" s="268" t="s">
        <v>836</v>
      </c>
      <c r="EO112" s="268">
        <v>0</v>
      </c>
      <c r="EP112" s="268">
        <v>1</v>
      </c>
      <c r="EQ112" s="269">
        <v>0</v>
      </c>
      <c r="ER112" s="269">
        <v>1</v>
      </c>
      <c r="ES112" s="269">
        <v>1</v>
      </c>
      <c r="ET112" s="820">
        <v>1</v>
      </c>
    </row>
    <row r="113" spans="1:150" ht="95.25" customHeight="1" x14ac:dyDescent="0.2">
      <c r="A113" s="271" t="s">
        <v>76</v>
      </c>
      <c r="B113" s="424" t="s">
        <v>77</v>
      </c>
      <c r="C113" s="425" t="s">
        <v>826</v>
      </c>
      <c r="D113" s="425"/>
      <c r="E113" s="8" t="s">
        <v>57</v>
      </c>
      <c r="F113" s="275" t="str">
        <f t="shared" si="26"/>
        <v>E2.P_A</v>
      </c>
      <c r="G113" s="485" t="s">
        <v>181</v>
      </c>
      <c r="H113" s="605" t="s">
        <v>302</v>
      </c>
      <c r="I113" s="588"/>
      <c r="J113" s="278" t="s">
        <v>61</v>
      </c>
      <c r="K113" s="279" t="str">
        <f t="shared" si="27"/>
        <v>E2.P_A.MR1</v>
      </c>
      <c r="L113" s="404" t="s">
        <v>275</v>
      </c>
      <c r="M113" s="405" t="s">
        <v>829</v>
      </c>
      <c r="N113" s="606">
        <v>4.7500000000000001E-2</v>
      </c>
      <c r="O113" s="606">
        <v>4.4999999999999998E-2</v>
      </c>
      <c r="P113" s="371" t="s">
        <v>99</v>
      </c>
      <c r="Q113" s="372" t="str">
        <f t="shared" si="28"/>
        <v>E2.P_A.MR1-MP03-1</v>
      </c>
      <c r="R113" s="416" t="s">
        <v>839</v>
      </c>
      <c r="S113" s="308" t="s">
        <v>840</v>
      </c>
      <c r="T113" s="313">
        <v>0.25</v>
      </c>
      <c r="U113" s="314">
        <v>0.3</v>
      </c>
      <c r="V113" s="313" t="s">
        <v>67</v>
      </c>
      <c r="W113" s="315">
        <v>0.25</v>
      </c>
      <c r="X113" s="316">
        <v>0.26</v>
      </c>
      <c r="Y113" s="315">
        <v>0.28999999999999998</v>
      </c>
      <c r="Z113" s="310">
        <v>0.3</v>
      </c>
      <c r="AA113" s="318"/>
      <c r="AB113" s="319"/>
      <c r="AC113" s="319"/>
      <c r="AD113" s="319"/>
      <c r="AE113" s="319"/>
      <c r="AF113" s="319"/>
      <c r="AG113" s="319"/>
      <c r="AH113" s="319"/>
      <c r="AI113" s="319"/>
      <c r="AJ113" s="319"/>
      <c r="AK113" s="319"/>
      <c r="AL113" s="319"/>
      <c r="AM113" s="319"/>
      <c r="AN113" s="319"/>
      <c r="AO113" s="319"/>
      <c r="AP113" s="319"/>
      <c r="AQ113" s="319"/>
      <c r="AR113" s="319"/>
      <c r="AS113" s="319"/>
      <c r="AT113" s="319"/>
      <c r="AU113" s="319"/>
      <c r="AV113" s="319"/>
      <c r="AW113" s="319"/>
      <c r="AX113" s="319"/>
      <c r="AY113" s="319"/>
      <c r="AZ113" s="319"/>
      <c r="BA113" s="319"/>
      <c r="BB113" s="319"/>
      <c r="BC113" s="320"/>
      <c r="BD113" s="295" t="s">
        <v>832</v>
      </c>
      <c r="BS113" s="86" t="s">
        <v>274</v>
      </c>
      <c r="BT113" s="86" t="s">
        <v>275</v>
      </c>
      <c r="BU113" s="85" t="s">
        <v>837</v>
      </c>
      <c r="BV113" s="84" t="s">
        <v>835</v>
      </c>
      <c r="DH113" s="7" t="s">
        <v>842</v>
      </c>
      <c r="DI113" s="7" t="s">
        <v>300</v>
      </c>
      <c r="DJ113" s="7" t="s">
        <v>301</v>
      </c>
      <c r="DK113" s="7" t="s">
        <v>302</v>
      </c>
      <c r="DL113" s="7" t="s">
        <v>299</v>
      </c>
      <c r="DQ113" s="7" t="s">
        <v>837</v>
      </c>
      <c r="DR113" s="7" t="s">
        <v>835</v>
      </c>
      <c r="EL113" s="822" t="s">
        <v>841</v>
      </c>
      <c r="EM113" s="312" t="s">
        <v>839</v>
      </c>
      <c r="EN113" s="268" t="s">
        <v>1899</v>
      </c>
      <c r="EO113" s="323">
        <v>25</v>
      </c>
      <c r="EP113" s="323">
        <v>30</v>
      </c>
      <c r="EQ113" s="323">
        <v>25</v>
      </c>
      <c r="ER113" s="323">
        <v>26</v>
      </c>
      <c r="ES113" s="323">
        <v>29</v>
      </c>
      <c r="ET113" s="823">
        <v>30</v>
      </c>
    </row>
    <row r="114" spans="1:150" ht="48" customHeight="1" x14ac:dyDescent="0.2">
      <c r="A114" s="271" t="s">
        <v>76</v>
      </c>
      <c r="B114" s="424" t="s">
        <v>77</v>
      </c>
      <c r="C114" s="425" t="s">
        <v>826</v>
      </c>
      <c r="D114" s="425"/>
      <c r="E114" s="8" t="s">
        <v>57</v>
      </c>
      <c r="F114" s="275" t="str">
        <f t="shared" si="26"/>
        <v>E2.P_A</v>
      </c>
      <c r="G114" s="485" t="s">
        <v>181</v>
      </c>
      <c r="H114" s="605" t="s">
        <v>302</v>
      </c>
      <c r="I114" s="588"/>
      <c r="J114" s="278" t="s">
        <v>61</v>
      </c>
      <c r="K114" s="279" t="str">
        <f t="shared" si="27"/>
        <v>E2.P_A.MR1</v>
      </c>
      <c r="L114" s="404" t="s">
        <v>275</v>
      </c>
      <c r="M114" s="405" t="s">
        <v>829</v>
      </c>
      <c r="N114" s="606">
        <v>4.7500000000000001E-2</v>
      </c>
      <c r="O114" s="606">
        <v>4.4999999999999998E-2</v>
      </c>
      <c r="P114" s="371" t="s">
        <v>112</v>
      </c>
      <c r="Q114" s="372" t="str">
        <f t="shared" si="28"/>
        <v>E2.P_A.MR1-MP04-1</v>
      </c>
      <c r="R114" s="416" t="s">
        <v>843</v>
      </c>
      <c r="S114" s="308" t="s">
        <v>844</v>
      </c>
      <c r="T114" s="313">
        <v>0.38</v>
      </c>
      <c r="U114" s="314">
        <v>0.57999999999999996</v>
      </c>
      <c r="V114" s="313" t="s">
        <v>67</v>
      </c>
      <c r="W114" s="309">
        <v>0.4</v>
      </c>
      <c r="X114" s="316">
        <v>0.45</v>
      </c>
      <c r="Y114" s="309">
        <v>0.5</v>
      </c>
      <c r="Z114" s="317">
        <v>0.57999999999999996</v>
      </c>
      <c r="AA114" s="318"/>
      <c r="AB114" s="319"/>
      <c r="AC114" s="319"/>
      <c r="AD114" s="319"/>
      <c r="AE114" s="319"/>
      <c r="AF114" s="319"/>
      <c r="AG114" s="319"/>
      <c r="AH114" s="319"/>
      <c r="AI114" s="319"/>
      <c r="AJ114" s="319"/>
      <c r="AK114" s="319"/>
      <c r="AL114" s="319"/>
      <c r="AM114" s="319"/>
      <c r="AN114" s="319"/>
      <c r="AO114" s="319"/>
      <c r="AP114" s="319"/>
      <c r="AQ114" s="319"/>
      <c r="AR114" s="319"/>
      <c r="AS114" s="319"/>
      <c r="AT114" s="319"/>
      <c r="AU114" s="319"/>
      <c r="AV114" s="319"/>
      <c r="AW114" s="319"/>
      <c r="AX114" s="319"/>
      <c r="AY114" s="319"/>
      <c r="AZ114" s="319"/>
      <c r="BA114" s="319"/>
      <c r="BB114" s="319"/>
      <c r="BC114" s="320"/>
      <c r="BD114" s="295" t="s">
        <v>832</v>
      </c>
      <c r="BS114" s="86" t="s">
        <v>274</v>
      </c>
      <c r="BT114" s="86" t="s">
        <v>275</v>
      </c>
      <c r="BU114" s="85" t="s">
        <v>841</v>
      </c>
      <c r="BV114" s="84" t="s">
        <v>839</v>
      </c>
      <c r="DH114" s="7" t="s">
        <v>846</v>
      </c>
      <c r="DI114" s="7" t="s">
        <v>300</v>
      </c>
      <c r="DJ114" s="7" t="s">
        <v>301</v>
      </c>
      <c r="DK114" s="7" t="s">
        <v>302</v>
      </c>
      <c r="DL114" s="7" t="s">
        <v>299</v>
      </c>
      <c r="DQ114" s="7" t="s">
        <v>841</v>
      </c>
      <c r="DR114" s="7" t="s">
        <v>839</v>
      </c>
      <c r="EL114" s="822" t="s">
        <v>845</v>
      </c>
      <c r="EM114" s="312" t="s">
        <v>843</v>
      </c>
      <c r="EN114" s="268" t="s">
        <v>1900</v>
      </c>
      <c r="EO114" s="270">
        <v>38</v>
      </c>
      <c r="EP114" s="270">
        <v>58</v>
      </c>
      <c r="EQ114" s="270">
        <v>40</v>
      </c>
      <c r="ER114" s="323">
        <v>45</v>
      </c>
      <c r="ES114" s="270">
        <v>50</v>
      </c>
      <c r="ET114" s="819">
        <v>58</v>
      </c>
    </row>
    <row r="115" spans="1:150" ht="64.5" customHeight="1" x14ac:dyDescent="0.2">
      <c r="A115" s="271" t="s">
        <v>76</v>
      </c>
      <c r="B115" s="424" t="s">
        <v>77</v>
      </c>
      <c r="C115" s="425" t="s">
        <v>826</v>
      </c>
      <c r="D115" s="425"/>
      <c r="E115" s="8" t="s">
        <v>57</v>
      </c>
      <c r="F115" s="275" t="str">
        <f t="shared" si="26"/>
        <v>E2.P_A</v>
      </c>
      <c r="G115" s="485" t="s">
        <v>181</v>
      </c>
      <c r="H115" s="605" t="s">
        <v>302</v>
      </c>
      <c r="I115" s="588"/>
      <c r="J115" s="278" t="s">
        <v>61</v>
      </c>
      <c r="K115" s="279" t="str">
        <f t="shared" si="27"/>
        <v>E2.P_A.MR1</v>
      </c>
      <c r="L115" s="404" t="s">
        <v>275</v>
      </c>
      <c r="M115" s="405" t="s">
        <v>829</v>
      </c>
      <c r="N115" s="606">
        <v>4.7500000000000001E-2</v>
      </c>
      <c r="O115" s="606">
        <v>4.4999999999999998E-2</v>
      </c>
      <c r="P115" s="371" t="s">
        <v>122</v>
      </c>
      <c r="Q115" s="372" t="str">
        <f t="shared" si="28"/>
        <v>E2.P_A.MR1-MP05-1</v>
      </c>
      <c r="R115" s="416" t="s">
        <v>847</v>
      </c>
      <c r="S115" s="308" t="s">
        <v>848</v>
      </c>
      <c r="T115" s="313">
        <v>0.02</v>
      </c>
      <c r="U115" s="314">
        <v>0.1</v>
      </c>
      <c r="V115" s="313" t="s">
        <v>67</v>
      </c>
      <c r="W115" s="289">
        <v>2</v>
      </c>
      <c r="X115" s="290">
        <v>4</v>
      </c>
      <c r="Y115" s="289">
        <v>6</v>
      </c>
      <c r="Z115" s="291">
        <v>10</v>
      </c>
      <c r="AA115" s="318"/>
      <c r="AB115" s="319"/>
      <c r="AC115" s="319"/>
      <c r="AD115" s="319"/>
      <c r="AE115" s="319"/>
      <c r="AF115" s="319"/>
      <c r="AG115" s="319"/>
      <c r="AH115" s="319"/>
      <c r="AI115" s="319"/>
      <c r="AJ115" s="319"/>
      <c r="AK115" s="319"/>
      <c r="AL115" s="319"/>
      <c r="AM115" s="319"/>
      <c r="AN115" s="319"/>
      <c r="AO115" s="319"/>
      <c r="AP115" s="319"/>
      <c r="AQ115" s="319"/>
      <c r="AR115" s="319"/>
      <c r="AS115" s="319"/>
      <c r="AT115" s="319"/>
      <c r="AU115" s="319"/>
      <c r="AV115" s="319"/>
      <c r="AW115" s="319"/>
      <c r="AX115" s="319"/>
      <c r="AY115" s="319"/>
      <c r="AZ115" s="319"/>
      <c r="BA115" s="319"/>
      <c r="BB115" s="319"/>
      <c r="BC115" s="320"/>
      <c r="BD115" s="295" t="s">
        <v>832</v>
      </c>
      <c r="BS115" s="86" t="s">
        <v>274</v>
      </c>
      <c r="BT115" s="86" t="s">
        <v>275</v>
      </c>
      <c r="BU115" s="85" t="s">
        <v>845</v>
      </c>
      <c r="BV115" s="84" t="s">
        <v>843</v>
      </c>
      <c r="DH115" s="7" t="s">
        <v>850</v>
      </c>
      <c r="DI115" s="7" t="s">
        <v>300</v>
      </c>
      <c r="DJ115" s="7" t="s">
        <v>301</v>
      </c>
      <c r="DK115" s="7" t="s">
        <v>302</v>
      </c>
      <c r="DL115" s="7" t="s">
        <v>299</v>
      </c>
      <c r="DQ115" s="7" t="s">
        <v>845</v>
      </c>
      <c r="DR115" s="7" t="s">
        <v>843</v>
      </c>
      <c r="EL115" s="822" t="s">
        <v>849</v>
      </c>
      <c r="EM115" s="312" t="s">
        <v>847</v>
      </c>
      <c r="EN115" s="268" t="s">
        <v>1901</v>
      </c>
      <c r="EO115" s="269">
        <v>2</v>
      </c>
      <c r="EP115" s="803">
        <v>10</v>
      </c>
      <c r="EQ115" s="803">
        <v>2</v>
      </c>
      <c r="ER115" s="803">
        <v>4</v>
      </c>
      <c r="ES115" s="803">
        <v>6</v>
      </c>
      <c r="ET115" s="830">
        <v>10</v>
      </c>
    </row>
    <row r="116" spans="1:150" ht="63" customHeight="1" x14ac:dyDescent="0.2">
      <c r="A116" s="271" t="s">
        <v>76</v>
      </c>
      <c r="B116" s="424" t="s">
        <v>77</v>
      </c>
      <c r="C116" s="425" t="s">
        <v>826</v>
      </c>
      <c r="D116" s="425"/>
      <c r="E116" s="8" t="s">
        <v>57</v>
      </c>
      <c r="F116" s="275" t="str">
        <f t="shared" si="26"/>
        <v>E2.P_A</v>
      </c>
      <c r="G116" s="485" t="s">
        <v>181</v>
      </c>
      <c r="H116" s="605" t="s">
        <v>302</v>
      </c>
      <c r="I116" s="588"/>
      <c r="J116" s="278" t="s">
        <v>61</v>
      </c>
      <c r="K116" s="279" t="str">
        <f t="shared" si="27"/>
        <v>E2.P_A.MR1</v>
      </c>
      <c r="L116" s="404" t="s">
        <v>275</v>
      </c>
      <c r="M116" s="405" t="s">
        <v>829</v>
      </c>
      <c r="N116" s="606">
        <v>4.7500000000000001E-2</v>
      </c>
      <c r="O116" s="606">
        <v>4.4999999999999998E-2</v>
      </c>
      <c r="P116" s="371" t="s">
        <v>132</v>
      </c>
      <c r="Q116" s="372" t="str">
        <f t="shared" si="28"/>
        <v>E2.P_A.MR1-MP06-1</v>
      </c>
      <c r="R116" s="416" t="s">
        <v>851</v>
      </c>
      <c r="S116" s="308" t="s">
        <v>852</v>
      </c>
      <c r="T116" s="287">
        <v>2</v>
      </c>
      <c r="U116" s="288">
        <v>3</v>
      </c>
      <c r="V116" s="287" t="s">
        <v>67</v>
      </c>
      <c r="W116" s="289">
        <v>1</v>
      </c>
      <c r="X116" s="290">
        <v>2</v>
      </c>
      <c r="Y116" s="289">
        <v>3</v>
      </c>
      <c r="Z116" s="291">
        <v>3</v>
      </c>
      <c r="AA116" s="292"/>
      <c r="AB116" s="293"/>
      <c r="AC116" s="293"/>
      <c r="AD116" s="293"/>
      <c r="AE116" s="293"/>
      <c r="AF116" s="293"/>
      <c r="AG116" s="293"/>
      <c r="AH116" s="293"/>
      <c r="AI116" s="293"/>
      <c r="AJ116" s="293"/>
      <c r="AK116" s="293"/>
      <c r="AL116" s="293"/>
      <c r="AM116" s="293"/>
      <c r="AN116" s="293"/>
      <c r="AO116" s="293"/>
      <c r="AP116" s="293"/>
      <c r="AQ116" s="293"/>
      <c r="AR116" s="293"/>
      <c r="AS116" s="293"/>
      <c r="AT116" s="293"/>
      <c r="AU116" s="293"/>
      <c r="AV116" s="293"/>
      <c r="AW116" s="293"/>
      <c r="AX116" s="293"/>
      <c r="AY116" s="293"/>
      <c r="AZ116" s="293"/>
      <c r="BA116" s="293"/>
      <c r="BB116" s="293"/>
      <c r="BC116" s="294"/>
      <c r="BD116" s="295" t="s">
        <v>832</v>
      </c>
      <c r="BS116" s="86" t="s">
        <v>274</v>
      </c>
      <c r="BT116" s="86" t="s">
        <v>275</v>
      </c>
      <c r="BU116" s="85" t="s">
        <v>849</v>
      </c>
      <c r="BV116" s="84" t="s">
        <v>847</v>
      </c>
      <c r="DH116" s="7" t="s">
        <v>854</v>
      </c>
      <c r="DI116" s="7" t="s">
        <v>300</v>
      </c>
      <c r="DJ116" s="7" t="s">
        <v>301</v>
      </c>
      <c r="DK116" s="7" t="s">
        <v>302</v>
      </c>
      <c r="DL116" s="7" t="s">
        <v>299</v>
      </c>
      <c r="DQ116" s="7" t="s">
        <v>849</v>
      </c>
      <c r="DR116" s="7" t="s">
        <v>847</v>
      </c>
      <c r="EL116" s="822" t="s">
        <v>853</v>
      </c>
      <c r="EM116" s="312" t="s">
        <v>851</v>
      </c>
      <c r="EN116" s="268" t="s">
        <v>852</v>
      </c>
      <c r="EO116" s="268">
        <v>2</v>
      </c>
      <c r="EP116" s="268">
        <v>3</v>
      </c>
      <c r="EQ116" s="269">
        <v>1</v>
      </c>
      <c r="ER116" s="269">
        <v>1</v>
      </c>
      <c r="ES116" s="270">
        <v>0.5</v>
      </c>
      <c r="ET116" s="823">
        <v>0.5</v>
      </c>
    </row>
    <row r="117" spans="1:150" ht="93" customHeight="1" x14ac:dyDescent="0.2">
      <c r="A117" s="271" t="s">
        <v>76</v>
      </c>
      <c r="B117" s="424" t="s">
        <v>77</v>
      </c>
      <c r="C117" s="425" t="s">
        <v>826</v>
      </c>
      <c r="D117" s="425"/>
      <c r="E117" s="8" t="s">
        <v>57</v>
      </c>
      <c r="F117" s="275" t="str">
        <f t="shared" si="26"/>
        <v>E2.P_A</v>
      </c>
      <c r="G117" s="485" t="s">
        <v>181</v>
      </c>
      <c r="H117" s="605" t="s">
        <v>302</v>
      </c>
      <c r="I117" s="588"/>
      <c r="J117" s="278" t="s">
        <v>61</v>
      </c>
      <c r="K117" s="279" t="str">
        <f t="shared" si="27"/>
        <v>E2.P_A.MR1</v>
      </c>
      <c r="L117" s="404" t="s">
        <v>275</v>
      </c>
      <c r="M117" s="405" t="s">
        <v>829</v>
      </c>
      <c r="N117" s="606">
        <v>4.7500000000000001E-2</v>
      </c>
      <c r="O117" s="606">
        <v>4.4999999999999998E-2</v>
      </c>
      <c r="P117" s="371" t="s">
        <v>142</v>
      </c>
      <c r="Q117" s="372" t="str">
        <f t="shared" si="28"/>
        <v>E2.P_A.MR1-MP07-1</v>
      </c>
      <c r="R117" s="416" t="s">
        <v>855</v>
      </c>
      <c r="S117" s="308" t="s">
        <v>856</v>
      </c>
      <c r="T117" s="313">
        <v>0.05</v>
      </c>
      <c r="U117" s="314">
        <v>0.3</v>
      </c>
      <c r="V117" s="313" t="s">
        <v>67</v>
      </c>
      <c r="W117" s="289">
        <v>5</v>
      </c>
      <c r="X117" s="290">
        <v>15</v>
      </c>
      <c r="Y117" s="289">
        <v>25</v>
      </c>
      <c r="Z117" s="291">
        <v>30</v>
      </c>
      <c r="AA117" s="318"/>
      <c r="AB117" s="319"/>
      <c r="AC117" s="319"/>
      <c r="AD117" s="319"/>
      <c r="AE117" s="319"/>
      <c r="AF117" s="319"/>
      <c r="AG117" s="319"/>
      <c r="AH117" s="319"/>
      <c r="AI117" s="319"/>
      <c r="AJ117" s="319"/>
      <c r="AK117" s="319"/>
      <c r="AL117" s="319"/>
      <c r="AM117" s="319"/>
      <c r="AN117" s="319"/>
      <c r="AO117" s="319"/>
      <c r="AP117" s="319"/>
      <c r="AQ117" s="319"/>
      <c r="AR117" s="319"/>
      <c r="AS117" s="319"/>
      <c r="AT117" s="319"/>
      <c r="AU117" s="319"/>
      <c r="AV117" s="319"/>
      <c r="AW117" s="319"/>
      <c r="AX117" s="319"/>
      <c r="AY117" s="319"/>
      <c r="AZ117" s="319"/>
      <c r="BA117" s="319"/>
      <c r="BB117" s="319"/>
      <c r="BC117" s="320"/>
      <c r="BD117" s="295" t="s">
        <v>832</v>
      </c>
      <c r="BS117" s="86" t="s">
        <v>274</v>
      </c>
      <c r="BT117" s="86" t="s">
        <v>275</v>
      </c>
      <c r="BU117" s="85" t="s">
        <v>853</v>
      </c>
      <c r="BV117" s="84" t="s">
        <v>851</v>
      </c>
      <c r="DH117" s="7" t="s">
        <v>858</v>
      </c>
      <c r="DI117" s="7" t="s">
        <v>300</v>
      </c>
      <c r="DJ117" s="7" t="s">
        <v>301</v>
      </c>
      <c r="DK117" s="7" t="s">
        <v>302</v>
      </c>
      <c r="DL117" s="7" t="s">
        <v>299</v>
      </c>
      <c r="DQ117" s="7" t="s">
        <v>853</v>
      </c>
      <c r="DR117" s="7" t="s">
        <v>851</v>
      </c>
      <c r="EL117" s="822" t="s">
        <v>857</v>
      </c>
      <c r="EM117" s="312" t="s">
        <v>855</v>
      </c>
      <c r="EN117" s="268" t="s">
        <v>1902</v>
      </c>
      <c r="EO117" s="269">
        <v>5</v>
      </c>
      <c r="EP117" s="803">
        <v>30</v>
      </c>
      <c r="EQ117" s="803">
        <v>5</v>
      </c>
      <c r="ER117" s="803">
        <v>15</v>
      </c>
      <c r="ES117" s="803">
        <v>25</v>
      </c>
      <c r="ET117" s="830">
        <v>30</v>
      </c>
    </row>
    <row r="118" spans="1:150" ht="34.5" customHeight="1" x14ac:dyDescent="0.2">
      <c r="A118" s="271" t="s">
        <v>76</v>
      </c>
      <c r="B118" s="424" t="s">
        <v>77</v>
      </c>
      <c r="C118" s="425" t="s">
        <v>826</v>
      </c>
      <c r="D118" s="425"/>
      <c r="E118" s="8" t="s">
        <v>57</v>
      </c>
      <c r="F118" s="275" t="str">
        <f t="shared" si="26"/>
        <v>E2.P_A</v>
      </c>
      <c r="G118" s="485" t="s">
        <v>181</v>
      </c>
      <c r="H118" s="605" t="s">
        <v>302</v>
      </c>
      <c r="I118" s="588"/>
      <c r="J118" s="278" t="s">
        <v>61</v>
      </c>
      <c r="K118" s="279" t="str">
        <f t="shared" si="27"/>
        <v>E2.P_A.MR1</v>
      </c>
      <c r="L118" s="404" t="s">
        <v>275</v>
      </c>
      <c r="M118" s="405" t="s">
        <v>829</v>
      </c>
      <c r="N118" s="606">
        <v>4.7500000000000001E-2</v>
      </c>
      <c r="O118" s="606">
        <v>4.4999999999999998E-2</v>
      </c>
      <c r="P118" s="371" t="s">
        <v>156</v>
      </c>
      <c r="Q118" s="372" t="str">
        <f t="shared" si="28"/>
        <v>E2.P_A.MR1-MP08-1</v>
      </c>
      <c r="R118" s="416" t="s">
        <v>859</v>
      </c>
      <c r="S118" s="308" t="s">
        <v>860</v>
      </c>
      <c r="T118" s="287">
        <v>1</v>
      </c>
      <c r="U118" s="288">
        <v>2</v>
      </c>
      <c r="V118" s="287" t="s">
        <v>67</v>
      </c>
      <c r="W118" s="289">
        <v>0</v>
      </c>
      <c r="X118" s="290">
        <v>1</v>
      </c>
      <c r="Y118" s="289">
        <v>2</v>
      </c>
      <c r="Z118" s="291">
        <v>2</v>
      </c>
      <c r="AA118" s="292"/>
      <c r="AB118" s="293"/>
      <c r="AC118" s="293"/>
      <c r="AD118" s="293"/>
      <c r="AE118" s="293"/>
      <c r="AF118" s="293"/>
      <c r="AG118" s="293"/>
      <c r="AH118" s="293"/>
      <c r="AI118" s="293"/>
      <c r="AJ118" s="293"/>
      <c r="AK118" s="293"/>
      <c r="AL118" s="293"/>
      <c r="AM118" s="293"/>
      <c r="AN118" s="293"/>
      <c r="AO118" s="293"/>
      <c r="AP118" s="293"/>
      <c r="AQ118" s="293"/>
      <c r="AR118" s="293"/>
      <c r="AS118" s="293"/>
      <c r="AT118" s="293"/>
      <c r="AU118" s="293"/>
      <c r="AV118" s="293"/>
      <c r="AW118" s="293"/>
      <c r="AX118" s="293"/>
      <c r="AY118" s="293"/>
      <c r="AZ118" s="293"/>
      <c r="BA118" s="293"/>
      <c r="BB118" s="293"/>
      <c r="BC118" s="294"/>
      <c r="BD118" s="295" t="s">
        <v>832</v>
      </c>
      <c r="BS118" s="86" t="s">
        <v>274</v>
      </c>
      <c r="BT118" s="86" t="s">
        <v>275</v>
      </c>
      <c r="BU118" s="85" t="s">
        <v>857</v>
      </c>
      <c r="BV118" s="84" t="s">
        <v>855</v>
      </c>
      <c r="DH118" s="7" t="s">
        <v>862</v>
      </c>
      <c r="DI118" s="7" t="s">
        <v>300</v>
      </c>
      <c r="DJ118" s="7" t="s">
        <v>301</v>
      </c>
      <c r="DK118" s="7" t="s">
        <v>302</v>
      </c>
      <c r="DL118" s="7" t="s">
        <v>299</v>
      </c>
      <c r="DQ118" s="7" t="s">
        <v>857</v>
      </c>
      <c r="DR118" s="7" t="s">
        <v>855</v>
      </c>
      <c r="EL118" s="822" t="s">
        <v>861</v>
      </c>
      <c r="EM118" s="312" t="s">
        <v>859</v>
      </c>
      <c r="EN118" s="268" t="s">
        <v>860</v>
      </c>
      <c r="EO118" s="268">
        <v>1</v>
      </c>
      <c r="EP118" s="804">
        <v>2</v>
      </c>
      <c r="EQ118" s="803">
        <v>0</v>
      </c>
      <c r="ER118" s="808">
        <v>0</v>
      </c>
      <c r="ES118" s="803">
        <v>1</v>
      </c>
      <c r="ET118" s="824">
        <v>1</v>
      </c>
    </row>
    <row r="119" spans="1:150" ht="48" customHeight="1" x14ac:dyDescent="0.2">
      <c r="A119" s="271" t="s">
        <v>76</v>
      </c>
      <c r="B119" s="424" t="s">
        <v>77</v>
      </c>
      <c r="C119" s="425" t="s">
        <v>826</v>
      </c>
      <c r="D119" s="425"/>
      <c r="E119" s="8" t="s">
        <v>57</v>
      </c>
      <c r="F119" s="275" t="str">
        <f t="shared" si="26"/>
        <v>E2.P_A</v>
      </c>
      <c r="G119" s="485" t="s">
        <v>181</v>
      </c>
      <c r="H119" s="605" t="s">
        <v>302</v>
      </c>
      <c r="I119" s="588"/>
      <c r="J119" s="278" t="s">
        <v>61</v>
      </c>
      <c r="K119" s="279" t="str">
        <f t="shared" si="27"/>
        <v>E2.P_A.MR1</v>
      </c>
      <c r="L119" s="404" t="s">
        <v>275</v>
      </c>
      <c r="M119" s="405" t="s">
        <v>829</v>
      </c>
      <c r="N119" s="606">
        <v>4.7500000000000001E-2</v>
      </c>
      <c r="O119" s="606">
        <v>4.4999999999999998E-2</v>
      </c>
      <c r="P119" s="371" t="s">
        <v>515</v>
      </c>
      <c r="Q119" s="372" t="str">
        <f t="shared" si="28"/>
        <v>E2.P_A.MR1-MP09-1</v>
      </c>
      <c r="R119" s="416" t="s">
        <v>863</v>
      </c>
      <c r="S119" s="308" t="s">
        <v>864</v>
      </c>
      <c r="T119" s="313">
        <v>0</v>
      </c>
      <c r="U119" s="314">
        <v>0.4</v>
      </c>
      <c r="V119" s="313" t="s">
        <v>67</v>
      </c>
      <c r="W119" s="289">
        <v>5</v>
      </c>
      <c r="X119" s="290">
        <v>15</v>
      </c>
      <c r="Y119" s="289">
        <v>30</v>
      </c>
      <c r="Z119" s="291">
        <v>40</v>
      </c>
      <c r="AA119" s="318"/>
      <c r="AB119" s="319"/>
      <c r="AC119" s="319"/>
      <c r="AD119" s="319"/>
      <c r="AE119" s="319"/>
      <c r="AF119" s="319"/>
      <c r="AG119" s="319"/>
      <c r="AH119" s="319"/>
      <c r="AI119" s="319"/>
      <c r="AJ119" s="319"/>
      <c r="AK119" s="319"/>
      <c r="AL119" s="319"/>
      <c r="AM119" s="319"/>
      <c r="AN119" s="319"/>
      <c r="AO119" s="319"/>
      <c r="AP119" s="319"/>
      <c r="AQ119" s="319"/>
      <c r="AR119" s="319"/>
      <c r="AS119" s="319"/>
      <c r="AT119" s="319"/>
      <c r="AU119" s="319"/>
      <c r="AV119" s="319"/>
      <c r="AW119" s="319"/>
      <c r="AX119" s="319"/>
      <c r="AY119" s="319"/>
      <c r="AZ119" s="319"/>
      <c r="BA119" s="319"/>
      <c r="BB119" s="319"/>
      <c r="BC119" s="320"/>
      <c r="BD119" s="295" t="s">
        <v>832</v>
      </c>
      <c r="BS119" s="86" t="s">
        <v>274</v>
      </c>
      <c r="BT119" s="86" t="s">
        <v>275</v>
      </c>
      <c r="BU119" s="85" t="s">
        <v>861</v>
      </c>
      <c r="BV119" s="84" t="s">
        <v>859</v>
      </c>
      <c r="DH119" s="7" t="s">
        <v>866</v>
      </c>
      <c r="DI119" s="7" t="s">
        <v>300</v>
      </c>
      <c r="DJ119" s="7" t="s">
        <v>301</v>
      </c>
      <c r="DK119" s="7" t="s">
        <v>302</v>
      </c>
      <c r="DL119" s="7" t="s">
        <v>299</v>
      </c>
      <c r="DQ119" s="7" t="s">
        <v>861</v>
      </c>
      <c r="DR119" s="7" t="s">
        <v>859</v>
      </c>
      <c r="EL119" s="822" t="s">
        <v>865</v>
      </c>
      <c r="EM119" s="312" t="s">
        <v>863</v>
      </c>
      <c r="EN119" s="268" t="s">
        <v>864</v>
      </c>
      <c r="EO119" s="269">
        <v>0</v>
      </c>
      <c r="EP119" s="803">
        <v>40</v>
      </c>
      <c r="EQ119" s="803">
        <v>5</v>
      </c>
      <c r="ER119" s="803">
        <v>15</v>
      </c>
      <c r="ES119" s="803">
        <v>30</v>
      </c>
      <c r="ET119" s="830">
        <v>40</v>
      </c>
    </row>
    <row r="120" spans="1:150" ht="49.5" customHeight="1" thickBot="1" x14ac:dyDescent="0.25">
      <c r="A120" s="271" t="s">
        <v>76</v>
      </c>
      <c r="B120" s="424" t="s">
        <v>77</v>
      </c>
      <c r="C120" s="425" t="s">
        <v>826</v>
      </c>
      <c r="D120" s="425"/>
      <c r="E120" s="8" t="s">
        <v>57</v>
      </c>
      <c r="F120" s="275" t="str">
        <f t="shared" si="26"/>
        <v>E2.P_A</v>
      </c>
      <c r="G120" s="490" t="s">
        <v>181</v>
      </c>
      <c r="H120" s="607" t="s">
        <v>302</v>
      </c>
      <c r="I120" s="588"/>
      <c r="J120" s="335" t="s">
        <v>61</v>
      </c>
      <c r="K120" s="395" t="str">
        <f t="shared" si="27"/>
        <v>E2.P_A.MR1</v>
      </c>
      <c r="L120" s="420" t="s">
        <v>275</v>
      </c>
      <c r="M120" s="405" t="s">
        <v>829</v>
      </c>
      <c r="N120" s="608">
        <v>4.7500000000000001E-2</v>
      </c>
      <c r="O120" s="608">
        <v>4.4999999999999998E-2</v>
      </c>
      <c r="P120" s="371" t="s">
        <v>522</v>
      </c>
      <c r="Q120" s="386" t="str">
        <f t="shared" si="28"/>
        <v>E2.P_A.MR1-MP10-1</v>
      </c>
      <c r="R120" s="423" t="s">
        <v>867</v>
      </c>
      <c r="S120" s="344" t="s">
        <v>868</v>
      </c>
      <c r="T120" s="555">
        <v>0</v>
      </c>
      <c r="U120" s="556">
        <v>0.9</v>
      </c>
      <c r="V120" s="555" t="s">
        <v>67</v>
      </c>
      <c r="W120" s="347">
        <v>0</v>
      </c>
      <c r="X120" s="348">
        <v>5</v>
      </c>
      <c r="Y120" s="347">
        <v>40</v>
      </c>
      <c r="Z120" s="349">
        <v>45</v>
      </c>
      <c r="AA120" s="318"/>
      <c r="AB120" s="319"/>
      <c r="AC120" s="319"/>
      <c r="AD120" s="319"/>
      <c r="AE120" s="319"/>
      <c r="AF120" s="319"/>
      <c r="AG120" s="319"/>
      <c r="AH120" s="319"/>
      <c r="AI120" s="319"/>
      <c r="AJ120" s="319"/>
      <c r="AK120" s="319"/>
      <c r="AL120" s="319"/>
      <c r="AM120" s="319"/>
      <c r="AN120" s="319"/>
      <c r="AO120" s="319"/>
      <c r="AP120" s="319"/>
      <c r="AQ120" s="319"/>
      <c r="AR120" s="319"/>
      <c r="AS120" s="319"/>
      <c r="AT120" s="319"/>
      <c r="AU120" s="319"/>
      <c r="AV120" s="319"/>
      <c r="AW120" s="319"/>
      <c r="AX120" s="319"/>
      <c r="AY120" s="319"/>
      <c r="AZ120" s="319"/>
      <c r="BA120" s="319"/>
      <c r="BB120" s="319"/>
      <c r="BC120" s="320"/>
      <c r="BD120" s="295" t="s">
        <v>832</v>
      </c>
      <c r="BS120" s="86" t="s">
        <v>274</v>
      </c>
      <c r="BT120" s="86" t="s">
        <v>275</v>
      </c>
      <c r="BU120" s="85" t="s">
        <v>865</v>
      </c>
      <c r="BV120" s="84" t="s">
        <v>863</v>
      </c>
      <c r="DH120" s="7" t="s">
        <v>870</v>
      </c>
      <c r="DI120" s="7" t="s">
        <v>300</v>
      </c>
      <c r="DJ120" s="7" t="s">
        <v>301</v>
      </c>
      <c r="DK120" s="7" t="s">
        <v>302</v>
      </c>
      <c r="DL120" s="7" t="s">
        <v>299</v>
      </c>
      <c r="DQ120" s="7" t="s">
        <v>865</v>
      </c>
      <c r="DR120" s="7" t="s">
        <v>863</v>
      </c>
      <c r="EL120" s="822" t="s">
        <v>869</v>
      </c>
      <c r="EM120" s="312" t="s">
        <v>867</v>
      </c>
      <c r="EN120" s="268" t="s">
        <v>868</v>
      </c>
      <c r="EO120" s="269">
        <v>0</v>
      </c>
      <c r="EP120" s="803">
        <v>90</v>
      </c>
      <c r="EQ120" s="803">
        <v>0</v>
      </c>
      <c r="ER120" s="803">
        <v>5</v>
      </c>
      <c r="ES120" s="803">
        <v>40</v>
      </c>
      <c r="ET120" s="830">
        <v>45</v>
      </c>
    </row>
    <row r="121" spans="1:150" ht="122.25" customHeight="1" x14ac:dyDescent="0.2">
      <c r="A121" s="271" t="s">
        <v>76</v>
      </c>
      <c r="B121" s="424" t="s">
        <v>77</v>
      </c>
      <c r="C121" s="425" t="s">
        <v>826</v>
      </c>
      <c r="D121" s="426" t="s">
        <v>827</v>
      </c>
      <c r="E121" s="3" t="s">
        <v>372</v>
      </c>
      <c r="F121" s="427" t="str">
        <f t="shared" si="26"/>
        <v>E2.P_B</v>
      </c>
      <c r="G121" s="609" t="s">
        <v>192</v>
      </c>
      <c r="H121" s="610" t="s">
        <v>313</v>
      </c>
      <c r="I121" s="611" t="s">
        <v>871</v>
      </c>
      <c r="J121" s="450" t="s">
        <v>61</v>
      </c>
      <c r="K121" s="451" t="str">
        <f t="shared" si="27"/>
        <v>E2.P_B.MR1</v>
      </c>
      <c r="L121" s="355" t="s">
        <v>286</v>
      </c>
      <c r="M121" s="356" t="s">
        <v>872</v>
      </c>
      <c r="N121" s="357">
        <v>184</v>
      </c>
      <c r="O121" s="241">
        <v>230</v>
      </c>
      <c r="P121" s="371" t="s">
        <v>64</v>
      </c>
      <c r="Q121" s="360" t="str">
        <f t="shared" si="28"/>
        <v>E2.P_B.MR1-MP01-1</v>
      </c>
      <c r="R121" s="501" t="s">
        <v>873</v>
      </c>
      <c r="S121" s="502" t="s">
        <v>874</v>
      </c>
      <c r="T121" s="612">
        <v>1</v>
      </c>
      <c r="U121" s="613">
        <v>2</v>
      </c>
      <c r="V121" s="363" t="s">
        <v>67</v>
      </c>
      <c r="W121" s="251">
        <v>0.5</v>
      </c>
      <c r="X121" s="250">
        <v>0.5</v>
      </c>
      <c r="Y121" s="251">
        <v>0.5</v>
      </c>
      <c r="Z121" s="252">
        <v>0.5</v>
      </c>
      <c r="AA121" s="585">
        <f>30000000+30000000+56000000+100000000+15000000</f>
        <v>231000000</v>
      </c>
      <c r="AB121" s="586">
        <v>0</v>
      </c>
      <c r="AC121" s="586">
        <v>100000000</v>
      </c>
      <c r="AD121" s="586">
        <v>0</v>
      </c>
      <c r="AE121" s="586">
        <v>0</v>
      </c>
      <c r="AF121" s="586">
        <v>0</v>
      </c>
      <c r="AG121" s="586">
        <f t="shared" ref="AG121" si="68">SUM(AA121:AF121)</f>
        <v>331000000</v>
      </c>
      <c r="AH121" s="586">
        <f t="shared" ref="AH121:AM121" si="69">AA121*1.035</f>
        <v>239084999.99999997</v>
      </c>
      <c r="AI121" s="586">
        <f t="shared" si="69"/>
        <v>0</v>
      </c>
      <c r="AJ121" s="586">
        <f t="shared" si="69"/>
        <v>103499999.99999999</v>
      </c>
      <c r="AK121" s="586">
        <f t="shared" si="69"/>
        <v>0</v>
      </c>
      <c r="AL121" s="586">
        <f t="shared" si="69"/>
        <v>0</v>
      </c>
      <c r="AM121" s="586">
        <f t="shared" si="69"/>
        <v>0</v>
      </c>
      <c r="AN121" s="586">
        <f t="shared" ref="AN121" si="70">SUM(AH121:AM121)</f>
        <v>342584999.99999994</v>
      </c>
      <c r="AO121" s="586">
        <f t="shared" ref="AO121:AT121" si="71">AH121*1.035</f>
        <v>247452974.99999994</v>
      </c>
      <c r="AP121" s="586">
        <f t="shared" si="71"/>
        <v>0</v>
      </c>
      <c r="AQ121" s="586">
        <f t="shared" si="71"/>
        <v>107122499.99999997</v>
      </c>
      <c r="AR121" s="586">
        <f t="shared" si="71"/>
        <v>0</v>
      </c>
      <c r="AS121" s="586">
        <f t="shared" si="71"/>
        <v>0</v>
      </c>
      <c r="AT121" s="586">
        <f t="shared" si="71"/>
        <v>0</v>
      </c>
      <c r="AU121" s="586">
        <f t="shared" ref="AU121" si="72">SUM(AO121:AT121)</f>
        <v>354575474.99999988</v>
      </c>
      <c r="AV121" s="586">
        <f t="shared" ref="AV121:BA121" si="73">AO121*1.035</f>
        <v>256113829.12499991</v>
      </c>
      <c r="AW121" s="586">
        <f t="shared" si="73"/>
        <v>0</v>
      </c>
      <c r="AX121" s="586">
        <f t="shared" si="73"/>
        <v>110871787.49999996</v>
      </c>
      <c r="AY121" s="586">
        <f t="shared" si="73"/>
        <v>0</v>
      </c>
      <c r="AZ121" s="586">
        <f t="shared" si="73"/>
        <v>0</v>
      </c>
      <c r="BA121" s="586">
        <f t="shared" si="73"/>
        <v>0</v>
      </c>
      <c r="BB121" s="586">
        <f t="shared" ref="BB121" si="74">SUM(AV121:BA121)</f>
        <v>366985616.62499988</v>
      </c>
      <c r="BC121" s="587">
        <f t="shared" ref="BC121" si="75">+AG121+AN121+AU121+BB121</f>
        <v>1395146091.6249998</v>
      </c>
      <c r="BD121" s="295" t="s">
        <v>832</v>
      </c>
      <c r="BS121" s="86" t="s">
        <v>274</v>
      </c>
      <c r="BT121" s="86" t="s">
        <v>275</v>
      </c>
      <c r="BU121" s="85" t="s">
        <v>869</v>
      </c>
      <c r="BV121" s="84" t="s">
        <v>867</v>
      </c>
      <c r="DH121" s="7" t="s">
        <v>876</v>
      </c>
      <c r="DI121" s="7" t="s">
        <v>300</v>
      </c>
      <c r="DJ121" s="7" t="s">
        <v>301</v>
      </c>
      <c r="DK121" s="7" t="s">
        <v>302</v>
      </c>
      <c r="DL121" s="7" t="s">
        <v>299</v>
      </c>
      <c r="DQ121" s="7" t="s">
        <v>869</v>
      </c>
      <c r="DR121" s="7" t="s">
        <v>867</v>
      </c>
      <c r="EL121" s="822" t="s">
        <v>875</v>
      </c>
      <c r="EM121" s="312" t="s">
        <v>873</v>
      </c>
      <c r="EN121" s="268" t="s">
        <v>874</v>
      </c>
      <c r="EO121" s="268">
        <v>1</v>
      </c>
      <c r="EP121" s="270">
        <v>2</v>
      </c>
      <c r="EQ121" s="270">
        <v>0.5</v>
      </c>
      <c r="ER121" s="270">
        <v>0.5</v>
      </c>
      <c r="ES121" s="270">
        <v>0.5</v>
      </c>
      <c r="ET121" s="823">
        <v>0.5</v>
      </c>
    </row>
    <row r="122" spans="1:150" ht="53.25" customHeight="1" x14ac:dyDescent="0.2">
      <c r="A122" s="271" t="s">
        <v>76</v>
      </c>
      <c r="B122" s="424" t="s">
        <v>77</v>
      </c>
      <c r="C122" s="425" t="s">
        <v>826</v>
      </c>
      <c r="D122" s="425"/>
      <c r="E122" s="8" t="s">
        <v>372</v>
      </c>
      <c r="F122" s="275" t="str">
        <f t="shared" si="26"/>
        <v>E2.P_B</v>
      </c>
      <c r="G122" s="448" t="s">
        <v>192</v>
      </c>
      <c r="H122" s="448" t="s">
        <v>313</v>
      </c>
      <c r="I122" s="452"/>
      <c r="J122" s="453" t="s">
        <v>61</v>
      </c>
      <c r="K122" s="368" t="str">
        <f t="shared" si="27"/>
        <v>E2.P_B.MR1</v>
      </c>
      <c r="L122" s="507" t="s">
        <v>286</v>
      </c>
      <c r="M122" s="508" t="s">
        <v>872</v>
      </c>
      <c r="N122" s="369">
        <v>184</v>
      </c>
      <c r="O122" s="282">
        <v>230</v>
      </c>
      <c r="P122" s="371" t="s">
        <v>87</v>
      </c>
      <c r="Q122" s="372" t="str">
        <f t="shared" si="28"/>
        <v>E2.P_B.MR1-MP02-1</v>
      </c>
      <c r="R122" s="416" t="s">
        <v>877</v>
      </c>
      <c r="S122" s="308" t="s">
        <v>878</v>
      </c>
      <c r="T122" s="287">
        <v>281</v>
      </c>
      <c r="U122" s="288">
        <v>600</v>
      </c>
      <c r="V122" s="287" t="s">
        <v>67</v>
      </c>
      <c r="W122" s="289">
        <v>150</v>
      </c>
      <c r="X122" s="290">
        <v>150</v>
      </c>
      <c r="Y122" s="289">
        <v>150</v>
      </c>
      <c r="Z122" s="291">
        <v>150</v>
      </c>
      <c r="AA122" s="292"/>
      <c r="AB122" s="293"/>
      <c r="AC122" s="293"/>
      <c r="AD122" s="293"/>
      <c r="AE122" s="293"/>
      <c r="AF122" s="293"/>
      <c r="AG122" s="293"/>
      <c r="AH122" s="293"/>
      <c r="AI122" s="293"/>
      <c r="AJ122" s="293"/>
      <c r="AK122" s="293"/>
      <c r="AL122" s="293"/>
      <c r="AM122" s="293"/>
      <c r="AN122" s="293"/>
      <c r="AO122" s="293"/>
      <c r="AP122" s="293"/>
      <c r="AQ122" s="293"/>
      <c r="AR122" s="293"/>
      <c r="AS122" s="293"/>
      <c r="AT122" s="293"/>
      <c r="AU122" s="293"/>
      <c r="AV122" s="293"/>
      <c r="AW122" s="293"/>
      <c r="AX122" s="293"/>
      <c r="AY122" s="293"/>
      <c r="AZ122" s="293"/>
      <c r="BA122" s="293"/>
      <c r="BB122" s="293"/>
      <c r="BC122" s="294"/>
      <c r="BD122" s="295" t="s">
        <v>832</v>
      </c>
      <c r="BS122" s="84" t="s">
        <v>285</v>
      </c>
      <c r="BT122" s="84" t="s">
        <v>286</v>
      </c>
      <c r="BU122" s="87" t="s">
        <v>875</v>
      </c>
      <c r="BV122" s="84" t="s">
        <v>873</v>
      </c>
      <c r="DH122" s="7" t="s">
        <v>880</v>
      </c>
      <c r="DI122" s="7" t="s">
        <v>300</v>
      </c>
      <c r="DJ122" s="7" t="s">
        <v>312</v>
      </c>
      <c r="DK122" s="7" t="s">
        <v>313</v>
      </c>
      <c r="DL122" s="7" t="s">
        <v>311</v>
      </c>
      <c r="DQ122" s="7" t="s">
        <v>875</v>
      </c>
      <c r="DR122" s="7" t="s">
        <v>873</v>
      </c>
      <c r="EL122" s="822" t="s">
        <v>879</v>
      </c>
      <c r="EM122" s="312" t="s">
        <v>877</v>
      </c>
      <c r="EN122" s="268" t="s">
        <v>878</v>
      </c>
      <c r="EO122" s="268">
        <v>281</v>
      </c>
      <c r="EP122" s="268">
        <v>600</v>
      </c>
      <c r="EQ122" s="269">
        <v>150</v>
      </c>
      <c r="ER122" s="269">
        <v>150</v>
      </c>
      <c r="ES122" s="269">
        <v>150</v>
      </c>
      <c r="ET122" s="820">
        <v>150</v>
      </c>
    </row>
    <row r="123" spans="1:150" ht="30" customHeight="1" x14ac:dyDescent="0.2">
      <c r="A123" s="271" t="s">
        <v>76</v>
      </c>
      <c r="B123" s="424" t="s">
        <v>77</v>
      </c>
      <c r="C123" s="425" t="s">
        <v>826</v>
      </c>
      <c r="D123" s="425"/>
      <c r="E123" s="8" t="s">
        <v>372</v>
      </c>
      <c r="F123" s="275" t="str">
        <f t="shared" si="26"/>
        <v>E2.P_B</v>
      </c>
      <c r="G123" s="448" t="s">
        <v>192</v>
      </c>
      <c r="H123" s="448" t="s">
        <v>313</v>
      </c>
      <c r="I123" s="452"/>
      <c r="J123" s="453" t="s">
        <v>61</v>
      </c>
      <c r="K123" s="368" t="str">
        <f t="shared" si="27"/>
        <v>E2.P_B.MR1</v>
      </c>
      <c r="L123" s="507" t="s">
        <v>286</v>
      </c>
      <c r="M123" s="508" t="s">
        <v>872</v>
      </c>
      <c r="N123" s="369">
        <v>184</v>
      </c>
      <c r="O123" s="282">
        <v>230</v>
      </c>
      <c r="P123" s="371" t="s">
        <v>99</v>
      </c>
      <c r="Q123" s="372" t="str">
        <f t="shared" si="28"/>
        <v>E2.P_B.MR1-MP03-1</v>
      </c>
      <c r="R123" s="416" t="s">
        <v>881</v>
      </c>
      <c r="S123" s="308" t="s">
        <v>882</v>
      </c>
      <c r="T123" s="375">
        <v>0</v>
      </c>
      <c r="U123" s="376">
        <v>1</v>
      </c>
      <c r="V123" s="375" t="s">
        <v>67</v>
      </c>
      <c r="W123" s="309">
        <v>0.2</v>
      </c>
      <c r="X123" s="324">
        <v>0.3</v>
      </c>
      <c r="Y123" s="309">
        <v>0.3</v>
      </c>
      <c r="Z123" s="310">
        <v>0.2</v>
      </c>
      <c r="AA123" s="377"/>
      <c r="AB123" s="378"/>
      <c r="AC123" s="378"/>
      <c r="AD123" s="378"/>
      <c r="AE123" s="378"/>
      <c r="AF123" s="378"/>
      <c r="AG123" s="378"/>
      <c r="AH123" s="378"/>
      <c r="AI123" s="378"/>
      <c r="AJ123" s="378"/>
      <c r="AK123" s="378"/>
      <c r="AL123" s="378"/>
      <c r="AM123" s="378"/>
      <c r="AN123" s="378"/>
      <c r="AO123" s="378"/>
      <c r="AP123" s="378"/>
      <c r="AQ123" s="378"/>
      <c r="AR123" s="378"/>
      <c r="AS123" s="378"/>
      <c r="AT123" s="378"/>
      <c r="AU123" s="378"/>
      <c r="AV123" s="378"/>
      <c r="AW123" s="378"/>
      <c r="AX123" s="378"/>
      <c r="AY123" s="378"/>
      <c r="AZ123" s="378"/>
      <c r="BA123" s="378"/>
      <c r="BB123" s="378"/>
      <c r="BC123" s="379"/>
      <c r="BD123" s="295" t="s">
        <v>832</v>
      </c>
      <c r="BS123" s="86" t="s">
        <v>285</v>
      </c>
      <c r="BT123" s="86" t="s">
        <v>286</v>
      </c>
      <c r="BU123" s="87" t="s">
        <v>879</v>
      </c>
      <c r="BV123" s="84" t="s">
        <v>877</v>
      </c>
      <c r="DH123" s="7" t="s">
        <v>884</v>
      </c>
      <c r="DI123" s="7" t="s">
        <v>300</v>
      </c>
      <c r="DJ123" s="7" t="s">
        <v>312</v>
      </c>
      <c r="DK123" s="7" t="s">
        <v>313</v>
      </c>
      <c r="DL123" s="7" t="s">
        <v>311</v>
      </c>
      <c r="DQ123" s="7" t="s">
        <v>879</v>
      </c>
      <c r="DR123" s="7" t="s">
        <v>877</v>
      </c>
      <c r="EL123" s="822" t="s">
        <v>883</v>
      </c>
      <c r="EM123" s="312" t="s">
        <v>881</v>
      </c>
      <c r="EN123" s="268" t="s">
        <v>882</v>
      </c>
      <c r="EO123" s="380">
        <v>0</v>
      </c>
      <c r="EP123" s="380">
        <v>1</v>
      </c>
      <c r="EQ123" s="270">
        <v>0.2</v>
      </c>
      <c r="ER123" s="809">
        <v>0</v>
      </c>
      <c r="ES123" s="809">
        <v>0.4</v>
      </c>
      <c r="ET123" s="818">
        <v>0.4</v>
      </c>
    </row>
    <row r="124" spans="1:150" ht="49.5" customHeight="1" thickBot="1" x14ac:dyDescent="0.25">
      <c r="A124" s="271" t="s">
        <v>76</v>
      </c>
      <c r="B124" s="424" t="s">
        <v>77</v>
      </c>
      <c r="C124" s="425" t="s">
        <v>826</v>
      </c>
      <c r="D124" s="425"/>
      <c r="E124" s="8" t="s">
        <v>372</v>
      </c>
      <c r="F124" s="275" t="str">
        <f t="shared" si="26"/>
        <v>E2.P_B</v>
      </c>
      <c r="G124" s="448" t="s">
        <v>192</v>
      </c>
      <c r="H124" s="448" t="s">
        <v>313</v>
      </c>
      <c r="I124" s="458"/>
      <c r="J124" s="459" t="s">
        <v>61</v>
      </c>
      <c r="K124" s="460" t="str">
        <f t="shared" si="27"/>
        <v>E2.P_B.MR1</v>
      </c>
      <c r="L124" s="543" t="s">
        <v>286</v>
      </c>
      <c r="M124" s="544" t="s">
        <v>872</v>
      </c>
      <c r="N124" s="383">
        <v>184</v>
      </c>
      <c r="O124" s="422">
        <v>230</v>
      </c>
      <c r="P124" s="371" t="s">
        <v>112</v>
      </c>
      <c r="Q124" s="386" t="str">
        <f t="shared" si="28"/>
        <v>E2.P_B.MR1-MP04-1</v>
      </c>
      <c r="R124" s="471" t="s">
        <v>885</v>
      </c>
      <c r="S124" s="331" t="s">
        <v>886</v>
      </c>
      <c r="T124" s="614">
        <v>1</v>
      </c>
      <c r="U124" s="615">
        <v>3</v>
      </c>
      <c r="V124" s="387" t="s">
        <v>67</v>
      </c>
      <c r="W124" s="397">
        <v>0.5</v>
      </c>
      <c r="X124" s="616">
        <v>0.5</v>
      </c>
      <c r="Y124" s="347">
        <v>1</v>
      </c>
      <c r="Z124" s="349">
        <v>1</v>
      </c>
      <c r="AA124" s="377"/>
      <c r="AB124" s="378"/>
      <c r="AC124" s="378"/>
      <c r="AD124" s="378"/>
      <c r="AE124" s="378"/>
      <c r="AF124" s="378"/>
      <c r="AG124" s="378"/>
      <c r="AH124" s="378"/>
      <c r="AI124" s="378"/>
      <c r="AJ124" s="378"/>
      <c r="AK124" s="378"/>
      <c r="AL124" s="378"/>
      <c r="AM124" s="378"/>
      <c r="AN124" s="378"/>
      <c r="AO124" s="378"/>
      <c r="AP124" s="378"/>
      <c r="AQ124" s="378"/>
      <c r="AR124" s="378"/>
      <c r="AS124" s="378"/>
      <c r="AT124" s="378"/>
      <c r="AU124" s="378"/>
      <c r="AV124" s="378"/>
      <c r="AW124" s="378"/>
      <c r="AX124" s="378"/>
      <c r="AY124" s="378"/>
      <c r="AZ124" s="378"/>
      <c r="BA124" s="378"/>
      <c r="BB124" s="378"/>
      <c r="BC124" s="379"/>
      <c r="BD124" s="295" t="s">
        <v>832</v>
      </c>
      <c r="BS124" s="86" t="s">
        <v>285</v>
      </c>
      <c r="BT124" s="86" t="s">
        <v>286</v>
      </c>
      <c r="BU124" s="87" t="s">
        <v>883</v>
      </c>
      <c r="BV124" s="84" t="s">
        <v>881</v>
      </c>
      <c r="DH124" s="7" t="s">
        <v>888</v>
      </c>
      <c r="DI124" s="7" t="s">
        <v>300</v>
      </c>
      <c r="DJ124" s="7" t="s">
        <v>312</v>
      </c>
      <c r="DK124" s="7" t="s">
        <v>313</v>
      </c>
      <c r="DL124" s="7" t="s">
        <v>311</v>
      </c>
      <c r="DQ124" s="7" t="s">
        <v>883</v>
      </c>
      <c r="DR124" s="7" t="s">
        <v>881</v>
      </c>
      <c r="EL124" s="822" t="s">
        <v>887</v>
      </c>
      <c r="EM124" s="312" t="s">
        <v>885</v>
      </c>
      <c r="EN124" s="268" t="s">
        <v>886</v>
      </c>
      <c r="EO124" s="380">
        <v>1</v>
      </c>
      <c r="EP124" s="380">
        <v>3</v>
      </c>
      <c r="EQ124" s="270">
        <v>0.5</v>
      </c>
      <c r="ER124" s="270">
        <v>0.5</v>
      </c>
      <c r="ES124" s="269">
        <v>1</v>
      </c>
      <c r="ET124" s="820">
        <v>1</v>
      </c>
    </row>
    <row r="125" spans="1:150" ht="132.75" customHeight="1" x14ac:dyDescent="0.2">
      <c r="A125" s="271" t="s">
        <v>76</v>
      </c>
      <c r="B125" s="424" t="s">
        <v>77</v>
      </c>
      <c r="C125" s="425" t="s">
        <v>826</v>
      </c>
      <c r="D125" s="426" t="s">
        <v>827</v>
      </c>
      <c r="E125" s="3" t="s">
        <v>530</v>
      </c>
      <c r="F125" s="427" t="str">
        <f t="shared" si="26"/>
        <v>E2.P_C</v>
      </c>
      <c r="G125" s="428" t="s">
        <v>203</v>
      </c>
      <c r="H125" s="473" t="s">
        <v>324</v>
      </c>
      <c r="I125" s="449" t="s">
        <v>889</v>
      </c>
      <c r="J125" s="450" t="s">
        <v>61</v>
      </c>
      <c r="K125" s="411" t="str">
        <f t="shared" si="27"/>
        <v>E2.P_C.MR1</v>
      </c>
      <c r="L125" s="510" t="s">
        <v>297</v>
      </c>
      <c r="M125" s="511" t="s">
        <v>890</v>
      </c>
      <c r="N125" s="357">
        <v>0</v>
      </c>
      <c r="O125" s="241">
        <v>80</v>
      </c>
      <c r="P125" s="371" t="s">
        <v>64</v>
      </c>
      <c r="Q125" s="360" t="str">
        <f t="shared" si="28"/>
        <v>E2.P_C.MR1-MP01-1</v>
      </c>
      <c r="R125" s="617" t="s">
        <v>891</v>
      </c>
      <c r="S125" s="515" t="s">
        <v>892</v>
      </c>
      <c r="T125" s="618">
        <v>0</v>
      </c>
      <c r="U125" s="619">
        <v>0.7</v>
      </c>
      <c r="V125" s="618" t="s">
        <v>67</v>
      </c>
      <c r="W125" s="620">
        <v>0.1</v>
      </c>
      <c r="X125" s="621">
        <v>0.2</v>
      </c>
      <c r="Y125" s="620">
        <v>0.2</v>
      </c>
      <c r="Z125" s="622">
        <v>0.2</v>
      </c>
      <c r="AA125" s="585">
        <f>20000000-60000000+100000000</f>
        <v>60000000</v>
      </c>
      <c r="AB125" s="586">
        <v>0</v>
      </c>
      <c r="AC125" s="586">
        <f>100000000-100000000</f>
        <v>0</v>
      </c>
      <c r="AD125" s="586">
        <v>0</v>
      </c>
      <c r="AE125" s="586">
        <v>0</v>
      </c>
      <c r="AF125" s="586">
        <v>0</v>
      </c>
      <c r="AG125" s="586">
        <f t="shared" ref="AG125" si="76">SUM(AA125:AF125)</f>
        <v>60000000</v>
      </c>
      <c r="AH125" s="586">
        <f t="shared" ref="AH125:AM125" si="77">AA125*1.035</f>
        <v>62099999.999999993</v>
      </c>
      <c r="AI125" s="586">
        <f t="shared" si="77"/>
        <v>0</v>
      </c>
      <c r="AJ125" s="586">
        <f t="shared" si="77"/>
        <v>0</v>
      </c>
      <c r="AK125" s="586">
        <f t="shared" si="77"/>
        <v>0</v>
      </c>
      <c r="AL125" s="586">
        <f t="shared" si="77"/>
        <v>0</v>
      </c>
      <c r="AM125" s="586">
        <f t="shared" si="77"/>
        <v>0</v>
      </c>
      <c r="AN125" s="586">
        <f t="shared" ref="AN125" si="78">SUM(AH125:AM125)</f>
        <v>62099999.999999993</v>
      </c>
      <c r="AO125" s="586">
        <f t="shared" ref="AO125:AT125" si="79">AH125*1.035</f>
        <v>64273499.999999985</v>
      </c>
      <c r="AP125" s="586">
        <f t="shared" si="79"/>
        <v>0</v>
      </c>
      <c r="AQ125" s="586">
        <f t="shared" si="79"/>
        <v>0</v>
      </c>
      <c r="AR125" s="586">
        <f t="shared" si="79"/>
        <v>0</v>
      </c>
      <c r="AS125" s="586">
        <f t="shared" si="79"/>
        <v>0</v>
      </c>
      <c r="AT125" s="586">
        <f t="shared" si="79"/>
        <v>0</v>
      </c>
      <c r="AU125" s="586">
        <f t="shared" ref="AU125" si="80">SUM(AO125:AT125)</f>
        <v>64273499.999999985</v>
      </c>
      <c r="AV125" s="586">
        <f t="shared" ref="AV125:BA125" si="81">AO125*1.035</f>
        <v>66523072.499999978</v>
      </c>
      <c r="AW125" s="586">
        <f t="shared" si="81"/>
        <v>0</v>
      </c>
      <c r="AX125" s="586">
        <f t="shared" si="81"/>
        <v>0</v>
      </c>
      <c r="AY125" s="586">
        <f t="shared" si="81"/>
        <v>0</v>
      </c>
      <c r="AZ125" s="586">
        <f t="shared" si="81"/>
        <v>0</v>
      </c>
      <c r="BA125" s="586">
        <f t="shared" si="81"/>
        <v>0</v>
      </c>
      <c r="BB125" s="586">
        <f t="shared" ref="BB125" si="82">SUM(AV125:BA125)</f>
        <v>66523072.499999978</v>
      </c>
      <c r="BC125" s="587">
        <f t="shared" ref="BC125" si="83">+AG125+AN125+AU125+BB125</f>
        <v>252896572.49999997</v>
      </c>
      <c r="BD125" s="295" t="s">
        <v>832</v>
      </c>
      <c r="BS125" s="86" t="s">
        <v>285</v>
      </c>
      <c r="BT125" s="86" t="s">
        <v>286</v>
      </c>
      <c r="BU125" s="87" t="s">
        <v>887</v>
      </c>
      <c r="BV125" s="84" t="s">
        <v>885</v>
      </c>
      <c r="DH125" s="7" t="s">
        <v>894</v>
      </c>
      <c r="DI125" s="7" t="s">
        <v>300</v>
      </c>
      <c r="DJ125" s="7" t="s">
        <v>312</v>
      </c>
      <c r="DK125" s="7" t="s">
        <v>313</v>
      </c>
      <c r="DL125" s="7" t="s">
        <v>311</v>
      </c>
      <c r="DQ125" s="7" t="s">
        <v>887</v>
      </c>
      <c r="DR125" s="7" t="s">
        <v>885</v>
      </c>
      <c r="EL125" s="822" t="s">
        <v>893</v>
      </c>
      <c r="EM125" s="312" t="s">
        <v>891</v>
      </c>
      <c r="EN125" s="268" t="s">
        <v>892</v>
      </c>
      <c r="EO125" s="270">
        <v>0</v>
      </c>
      <c r="EP125" s="270">
        <v>70</v>
      </c>
      <c r="EQ125" s="270">
        <v>10</v>
      </c>
      <c r="ER125" s="809">
        <v>0</v>
      </c>
      <c r="ES125" s="809">
        <v>30</v>
      </c>
      <c r="ET125" s="818">
        <v>30</v>
      </c>
    </row>
    <row r="126" spans="1:150" ht="84" customHeight="1" x14ac:dyDescent="0.2">
      <c r="A126" s="271" t="s">
        <v>76</v>
      </c>
      <c r="B126" s="424" t="s">
        <v>77</v>
      </c>
      <c r="C126" s="425" t="s">
        <v>826</v>
      </c>
      <c r="D126" s="425"/>
      <c r="E126" s="8" t="s">
        <v>530</v>
      </c>
      <c r="F126" s="275" t="str">
        <f t="shared" si="26"/>
        <v>E2.P_C</v>
      </c>
      <c r="G126" s="448" t="s">
        <v>203</v>
      </c>
      <c r="H126" s="448" t="s">
        <v>324</v>
      </c>
      <c r="I126" s="452"/>
      <c r="J126" s="453" t="s">
        <v>61</v>
      </c>
      <c r="K126" s="368" t="str">
        <f t="shared" si="27"/>
        <v>E2.P_C.MR1</v>
      </c>
      <c r="L126" s="404" t="s">
        <v>297</v>
      </c>
      <c r="M126" s="405" t="s">
        <v>890</v>
      </c>
      <c r="N126" s="369">
        <v>0</v>
      </c>
      <c r="O126" s="282">
        <v>80</v>
      </c>
      <c r="P126" s="371" t="s">
        <v>87</v>
      </c>
      <c r="Q126" s="372" t="str">
        <f t="shared" si="28"/>
        <v>E2.P_C.MR1-MP02-1</v>
      </c>
      <c r="R126" s="623" t="s">
        <v>895</v>
      </c>
      <c r="S126" s="524" t="s">
        <v>896</v>
      </c>
      <c r="T126" s="525">
        <v>0</v>
      </c>
      <c r="U126" s="526">
        <v>1</v>
      </c>
      <c r="V126" s="525" t="s">
        <v>67</v>
      </c>
      <c r="W126" s="527">
        <v>0.2</v>
      </c>
      <c r="X126" s="528">
        <v>0.3</v>
      </c>
      <c r="Y126" s="527">
        <v>0.3</v>
      </c>
      <c r="Z126" s="536">
        <v>0.2</v>
      </c>
      <c r="AA126" s="531"/>
      <c r="AB126" s="532"/>
      <c r="AC126" s="532"/>
      <c r="AD126" s="532"/>
      <c r="AE126" s="532"/>
      <c r="AF126" s="532"/>
      <c r="AG126" s="532"/>
      <c r="AH126" s="532"/>
      <c r="AI126" s="532"/>
      <c r="AJ126" s="532"/>
      <c r="AK126" s="532"/>
      <c r="AL126" s="532"/>
      <c r="AM126" s="532"/>
      <c r="AN126" s="532"/>
      <c r="AO126" s="532"/>
      <c r="AP126" s="532"/>
      <c r="AQ126" s="532"/>
      <c r="AR126" s="532"/>
      <c r="AS126" s="532"/>
      <c r="AT126" s="532"/>
      <c r="AU126" s="532"/>
      <c r="AV126" s="532"/>
      <c r="AW126" s="532"/>
      <c r="AX126" s="532"/>
      <c r="AY126" s="532"/>
      <c r="AZ126" s="532"/>
      <c r="BA126" s="532"/>
      <c r="BB126" s="532"/>
      <c r="BC126" s="533"/>
      <c r="BD126" s="295" t="s">
        <v>832</v>
      </c>
      <c r="BS126" s="84" t="s">
        <v>296</v>
      </c>
      <c r="BT126" s="84" t="s">
        <v>297</v>
      </c>
      <c r="BU126" s="87" t="s">
        <v>893</v>
      </c>
      <c r="BV126" s="84" t="s">
        <v>891</v>
      </c>
      <c r="DH126" s="7" t="s">
        <v>898</v>
      </c>
      <c r="DI126" s="7" t="s">
        <v>300</v>
      </c>
      <c r="DJ126" s="7" t="s">
        <v>323</v>
      </c>
      <c r="DK126" s="7" t="s">
        <v>324</v>
      </c>
      <c r="DL126" s="7" t="s">
        <v>322</v>
      </c>
      <c r="DQ126" s="7" t="s">
        <v>893</v>
      </c>
      <c r="DR126" s="7" t="s">
        <v>891</v>
      </c>
      <c r="EL126" s="822" t="s">
        <v>897</v>
      </c>
      <c r="EM126" s="312" t="s">
        <v>895</v>
      </c>
      <c r="EN126" s="268" t="s">
        <v>896</v>
      </c>
      <c r="EO126" s="268">
        <v>0</v>
      </c>
      <c r="EP126" s="268">
        <v>1</v>
      </c>
      <c r="EQ126" s="270">
        <v>0.2</v>
      </c>
      <c r="ER126" s="809">
        <v>0.2</v>
      </c>
      <c r="ES126" s="270">
        <v>0.3</v>
      </c>
      <c r="ET126" s="818">
        <v>0.3</v>
      </c>
    </row>
    <row r="127" spans="1:150" ht="56.25" customHeight="1" thickBot="1" x14ac:dyDescent="0.25">
      <c r="A127" s="271" t="s">
        <v>76</v>
      </c>
      <c r="B127" s="424" t="s">
        <v>77</v>
      </c>
      <c r="C127" s="425" t="s">
        <v>826</v>
      </c>
      <c r="D127" s="425"/>
      <c r="E127" s="8" t="s">
        <v>530</v>
      </c>
      <c r="F127" s="275" t="str">
        <f t="shared" si="26"/>
        <v>E2.P_C</v>
      </c>
      <c r="G127" s="560" t="s">
        <v>203</v>
      </c>
      <c r="H127" s="560" t="s">
        <v>324</v>
      </c>
      <c r="I127" s="458"/>
      <c r="J127" s="459" t="s">
        <v>61</v>
      </c>
      <c r="K127" s="460" t="str">
        <f t="shared" si="27"/>
        <v>E2.P_C.MR1</v>
      </c>
      <c r="L127" s="420" t="s">
        <v>297</v>
      </c>
      <c r="M127" s="421" t="s">
        <v>890</v>
      </c>
      <c r="N127" s="383">
        <v>0</v>
      </c>
      <c r="O127" s="422">
        <v>80</v>
      </c>
      <c r="P127" s="371" t="s">
        <v>99</v>
      </c>
      <c r="Q127" s="386" t="str">
        <f t="shared" si="28"/>
        <v>E2.P_C.MR1-MP03-1</v>
      </c>
      <c r="R127" s="624" t="s">
        <v>899</v>
      </c>
      <c r="S127" s="547" t="s">
        <v>900</v>
      </c>
      <c r="T127" s="625">
        <v>0</v>
      </c>
      <c r="U127" s="626">
        <v>4</v>
      </c>
      <c r="V127" s="548" t="s">
        <v>67</v>
      </c>
      <c r="W127" s="550">
        <v>1</v>
      </c>
      <c r="X127" s="551">
        <v>1</v>
      </c>
      <c r="Y127" s="550">
        <v>1</v>
      </c>
      <c r="Z127" s="552">
        <v>1</v>
      </c>
      <c r="AA127" s="531"/>
      <c r="AB127" s="532"/>
      <c r="AC127" s="532"/>
      <c r="AD127" s="532"/>
      <c r="AE127" s="532"/>
      <c r="AF127" s="532"/>
      <c r="AG127" s="532"/>
      <c r="AH127" s="532"/>
      <c r="AI127" s="532"/>
      <c r="AJ127" s="532"/>
      <c r="AK127" s="532"/>
      <c r="AL127" s="532"/>
      <c r="AM127" s="532"/>
      <c r="AN127" s="532"/>
      <c r="AO127" s="532"/>
      <c r="AP127" s="532"/>
      <c r="AQ127" s="532"/>
      <c r="AR127" s="532"/>
      <c r="AS127" s="532"/>
      <c r="AT127" s="532"/>
      <c r="AU127" s="532"/>
      <c r="AV127" s="532"/>
      <c r="AW127" s="532"/>
      <c r="AX127" s="532"/>
      <c r="AY127" s="532"/>
      <c r="AZ127" s="532"/>
      <c r="BA127" s="532"/>
      <c r="BB127" s="532"/>
      <c r="BC127" s="533"/>
      <c r="BD127" s="295" t="s">
        <v>832</v>
      </c>
      <c r="BS127" s="86" t="s">
        <v>296</v>
      </c>
      <c r="BT127" s="86" t="s">
        <v>297</v>
      </c>
      <c r="BU127" s="87" t="s">
        <v>897</v>
      </c>
      <c r="BV127" s="84" t="s">
        <v>895</v>
      </c>
      <c r="DH127" s="7" t="s">
        <v>902</v>
      </c>
      <c r="DI127" s="7" t="s">
        <v>300</v>
      </c>
      <c r="DJ127" s="7" t="s">
        <v>323</v>
      </c>
      <c r="DK127" s="7" t="s">
        <v>324</v>
      </c>
      <c r="DL127" s="7" t="s">
        <v>322</v>
      </c>
      <c r="DQ127" s="7" t="s">
        <v>897</v>
      </c>
      <c r="DR127" s="7" t="s">
        <v>895</v>
      </c>
      <c r="EL127" s="822" t="s">
        <v>901</v>
      </c>
      <c r="EM127" s="312" t="s">
        <v>899</v>
      </c>
      <c r="EN127" s="268" t="s">
        <v>900</v>
      </c>
      <c r="EO127" s="268">
        <v>0</v>
      </c>
      <c r="EP127" s="268">
        <v>4</v>
      </c>
      <c r="EQ127" s="269">
        <v>1</v>
      </c>
      <c r="ER127" s="269">
        <v>1</v>
      </c>
      <c r="ES127" s="269">
        <v>1</v>
      </c>
      <c r="ET127" s="820">
        <v>1</v>
      </c>
    </row>
    <row r="128" spans="1:150" ht="107.25" customHeight="1" x14ac:dyDescent="0.2">
      <c r="A128" s="271" t="s">
        <v>76</v>
      </c>
      <c r="B128" s="424" t="s">
        <v>77</v>
      </c>
      <c r="C128" s="425" t="s">
        <v>826</v>
      </c>
      <c r="D128" s="426" t="s">
        <v>827</v>
      </c>
      <c r="E128" s="3" t="s">
        <v>641</v>
      </c>
      <c r="F128" s="427" t="str">
        <f t="shared" si="26"/>
        <v>E2.P_D</v>
      </c>
      <c r="G128" s="428" t="s">
        <v>218</v>
      </c>
      <c r="H128" s="473" t="s">
        <v>338</v>
      </c>
      <c r="I128" s="449" t="s">
        <v>903</v>
      </c>
      <c r="J128" s="450" t="s">
        <v>61</v>
      </c>
      <c r="K128" s="451" t="str">
        <f t="shared" si="27"/>
        <v>E2.P_D.MR1</v>
      </c>
      <c r="L128" s="627" t="s">
        <v>309</v>
      </c>
      <c r="M128" s="356" t="s">
        <v>904</v>
      </c>
      <c r="N128" s="357">
        <v>0</v>
      </c>
      <c r="O128" s="241">
        <v>2</v>
      </c>
      <c r="P128" s="371" t="s">
        <v>64</v>
      </c>
      <c r="Q128" s="360" t="str">
        <f t="shared" si="28"/>
        <v>E2.P_D.MR1-MP01-1</v>
      </c>
      <c r="R128" s="412" t="s">
        <v>905</v>
      </c>
      <c r="S128" s="362" t="s">
        <v>906</v>
      </c>
      <c r="T128" s="363">
        <v>0</v>
      </c>
      <c r="U128" s="364">
        <v>2</v>
      </c>
      <c r="V128" s="363" t="s">
        <v>67</v>
      </c>
      <c r="W128" s="251">
        <v>0.5</v>
      </c>
      <c r="X128" s="250">
        <v>0.5</v>
      </c>
      <c r="Y128" s="251">
        <v>0.5</v>
      </c>
      <c r="Z128" s="252">
        <v>0.5</v>
      </c>
      <c r="AA128" s="585">
        <f>300000000+153200000+6800000-360000000</f>
        <v>100000000</v>
      </c>
      <c r="AB128" s="586">
        <v>0</v>
      </c>
      <c r="AC128" s="586">
        <v>200000000</v>
      </c>
      <c r="AD128" s="586">
        <v>0</v>
      </c>
      <c r="AE128" s="586">
        <v>0</v>
      </c>
      <c r="AF128" s="586">
        <v>0</v>
      </c>
      <c r="AG128" s="586">
        <f t="shared" ref="AG128" si="84">SUM(AA128:AF128)</f>
        <v>300000000</v>
      </c>
      <c r="AH128" s="586">
        <f t="shared" ref="AH128:AM128" si="85">AA128*1.035</f>
        <v>103499999.99999999</v>
      </c>
      <c r="AI128" s="586">
        <f t="shared" si="85"/>
        <v>0</v>
      </c>
      <c r="AJ128" s="586">
        <f t="shared" si="85"/>
        <v>206999999.99999997</v>
      </c>
      <c r="AK128" s="586">
        <f t="shared" si="85"/>
        <v>0</v>
      </c>
      <c r="AL128" s="586">
        <f t="shared" si="85"/>
        <v>0</v>
      </c>
      <c r="AM128" s="586">
        <f t="shared" si="85"/>
        <v>0</v>
      </c>
      <c r="AN128" s="586">
        <f t="shared" ref="AN128" si="86">SUM(AH128:AM128)</f>
        <v>310499999.99999994</v>
      </c>
      <c r="AO128" s="586">
        <f t="shared" ref="AO128:AT128" si="87">AH128*1.035</f>
        <v>107122499.99999997</v>
      </c>
      <c r="AP128" s="586">
        <f t="shared" si="87"/>
        <v>0</v>
      </c>
      <c r="AQ128" s="586">
        <f t="shared" si="87"/>
        <v>214244999.99999994</v>
      </c>
      <c r="AR128" s="586">
        <f t="shared" si="87"/>
        <v>0</v>
      </c>
      <c r="AS128" s="586">
        <f t="shared" si="87"/>
        <v>0</v>
      </c>
      <c r="AT128" s="586">
        <f t="shared" si="87"/>
        <v>0</v>
      </c>
      <c r="AU128" s="586">
        <f t="shared" ref="AU128" si="88">SUM(AO128:AT128)</f>
        <v>321367499.99999988</v>
      </c>
      <c r="AV128" s="586">
        <f t="shared" ref="AV128:BA128" si="89">AO128*1.035</f>
        <v>110871787.49999996</v>
      </c>
      <c r="AW128" s="586">
        <f t="shared" si="89"/>
        <v>0</v>
      </c>
      <c r="AX128" s="586">
        <f t="shared" si="89"/>
        <v>221743574.99999991</v>
      </c>
      <c r="AY128" s="586">
        <f t="shared" si="89"/>
        <v>0</v>
      </c>
      <c r="AZ128" s="586">
        <f t="shared" si="89"/>
        <v>0</v>
      </c>
      <c r="BA128" s="586">
        <f t="shared" si="89"/>
        <v>0</v>
      </c>
      <c r="BB128" s="586">
        <f t="shared" ref="BB128" si="90">SUM(AV128:BA128)</f>
        <v>332615362.49999988</v>
      </c>
      <c r="BC128" s="587">
        <f t="shared" ref="BC128" si="91">+AG128+AN128+AU128+BB128</f>
        <v>1264482862.4999998</v>
      </c>
      <c r="BD128" s="295" t="s">
        <v>832</v>
      </c>
      <c r="BS128" s="86" t="s">
        <v>296</v>
      </c>
      <c r="BT128" s="86" t="s">
        <v>297</v>
      </c>
      <c r="BU128" s="87" t="s">
        <v>901</v>
      </c>
      <c r="BV128" s="84" t="s">
        <v>899</v>
      </c>
      <c r="DH128" s="7" t="s">
        <v>908</v>
      </c>
      <c r="DI128" s="7" t="s">
        <v>300</v>
      </c>
      <c r="DJ128" s="7" t="s">
        <v>323</v>
      </c>
      <c r="DK128" s="7" t="s">
        <v>324</v>
      </c>
      <c r="DL128" s="7" t="s">
        <v>322</v>
      </c>
      <c r="DQ128" s="7" t="s">
        <v>901</v>
      </c>
      <c r="DR128" s="7" t="s">
        <v>899</v>
      </c>
      <c r="EL128" s="822" t="s">
        <v>907</v>
      </c>
      <c r="EM128" s="312" t="s">
        <v>905</v>
      </c>
      <c r="EN128" s="268" t="s">
        <v>906</v>
      </c>
      <c r="EO128" s="268">
        <v>0</v>
      </c>
      <c r="EP128" s="268">
        <v>2</v>
      </c>
      <c r="EQ128" s="270">
        <v>0.5</v>
      </c>
      <c r="ER128" s="270">
        <v>0.5</v>
      </c>
      <c r="ES128" s="270">
        <v>0.5</v>
      </c>
      <c r="ET128" s="823">
        <v>0.5</v>
      </c>
    </row>
    <row r="129" spans="1:150" ht="62.25" customHeight="1" x14ac:dyDescent="0.2">
      <c r="A129" s="271" t="s">
        <v>76</v>
      </c>
      <c r="B129" s="424" t="s">
        <v>77</v>
      </c>
      <c r="C129" s="425" t="s">
        <v>826</v>
      </c>
      <c r="D129" s="425"/>
      <c r="E129" s="8" t="s">
        <v>641</v>
      </c>
      <c r="F129" s="275" t="str">
        <f t="shared" si="26"/>
        <v>E2.P_D</v>
      </c>
      <c r="G129" s="448" t="s">
        <v>218</v>
      </c>
      <c r="H129" s="448" t="s">
        <v>338</v>
      </c>
      <c r="I129" s="452"/>
      <c r="J129" s="453" t="s">
        <v>61</v>
      </c>
      <c r="K129" s="368" t="str">
        <f t="shared" si="27"/>
        <v>E2.P_D.MR1</v>
      </c>
      <c r="L129" s="404" t="s">
        <v>309</v>
      </c>
      <c r="M129" s="405" t="s">
        <v>904</v>
      </c>
      <c r="N129" s="369">
        <v>0</v>
      </c>
      <c r="O129" s="282">
        <v>2</v>
      </c>
      <c r="P129" s="371" t="s">
        <v>87</v>
      </c>
      <c r="Q129" s="372" t="str">
        <f t="shared" si="28"/>
        <v>E2.P_D.MR1-MP02-1</v>
      </c>
      <c r="R129" s="416" t="s">
        <v>909</v>
      </c>
      <c r="S129" s="308" t="s">
        <v>910</v>
      </c>
      <c r="T129" s="287">
        <v>0</v>
      </c>
      <c r="U129" s="288">
        <v>200</v>
      </c>
      <c r="V129" s="287" t="s">
        <v>67</v>
      </c>
      <c r="W129" s="289">
        <v>50</v>
      </c>
      <c r="X129" s="290">
        <v>50</v>
      </c>
      <c r="Y129" s="289">
        <v>50</v>
      </c>
      <c r="Z129" s="291">
        <v>50</v>
      </c>
      <c r="AA129" s="292"/>
      <c r="AB129" s="293"/>
      <c r="AC129" s="293"/>
      <c r="AD129" s="293"/>
      <c r="AE129" s="293"/>
      <c r="AF129" s="293"/>
      <c r="AG129" s="293"/>
      <c r="AH129" s="293"/>
      <c r="AI129" s="293"/>
      <c r="AJ129" s="293"/>
      <c r="AK129" s="293"/>
      <c r="AL129" s="293"/>
      <c r="AM129" s="293"/>
      <c r="AN129" s="293"/>
      <c r="AO129" s="293"/>
      <c r="AP129" s="293"/>
      <c r="AQ129" s="293"/>
      <c r="AR129" s="293"/>
      <c r="AS129" s="293"/>
      <c r="AT129" s="293"/>
      <c r="AU129" s="293"/>
      <c r="AV129" s="293"/>
      <c r="AW129" s="293"/>
      <c r="AX129" s="293"/>
      <c r="AY129" s="293"/>
      <c r="AZ129" s="293"/>
      <c r="BA129" s="293"/>
      <c r="BB129" s="293"/>
      <c r="BC129" s="294"/>
      <c r="BD129" s="295" t="s">
        <v>832</v>
      </c>
      <c r="BS129" s="84" t="s">
        <v>308</v>
      </c>
      <c r="BT129" s="84" t="s">
        <v>309</v>
      </c>
      <c r="BU129" s="85" t="s">
        <v>907</v>
      </c>
      <c r="BV129" s="84" t="s">
        <v>905</v>
      </c>
      <c r="DH129" s="7" t="s">
        <v>912</v>
      </c>
      <c r="DI129" s="7" t="s">
        <v>300</v>
      </c>
      <c r="DJ129" s="7" t="s">
        <v>337</v>
      </c>
      <c r="DK129" s="7" t="s">
        <v>338</v>
      </c>
      <c r="DL129" s="7" t="s">
        <v>336</v>
      </c>
      <c r="DQ129" s="7" t="s">
        <v>907</v>
      </c>
      <c r="DR129" s="7" t="s">
        <v>905</v>
      </c>
      <c r="EL129" s="822" t="s">
        <v>911</v>
      </c>
      <c r="EM129" s="312" t="s">
        <v>909</v>
      </c>
      <c r="EN129" s="268" t="s">
        <v>910</v>
      </c>
      <c r="EO129" s="268">
        <v>0</v>
      </c>
      <c r="EP129" s="268">
        <v>200</v>
      </c>
      <c r="EQ129" s="269">
        <v>50</v>
      </c>
      <c r="ER129" s="269">
        <v>50</v>
      </c>
      <c r="ES129" s="269">
        <v>50</v>
      </c>
      <c r="ET129" s="820">
        <v>50</v>
      </c>
    </row>
    <row r="130" spans="1:150" ht="39" customHeight="1" x14ac:dyDescent="0.2">
      <c r="A130" s="271" t="s">
        <v>76</v>
      </c>
      <c r="B130" s="424" t="s">
        <v>77</v>
      </c>
      <c r="C130" s="425" t="s">
        <v>826</v>
      </c>
      <c r="D130" s="425"/>
      <c r="E130" s="8" t="s">
        <v>641</v>
      </c>
      <c r="F130" s="275" t="str">
        <f t="shared" si="26"/>
        <v>E2.P_D</v>
      </c>
      <c r="G130" s="448" t="s">
        <v>218</v>
      </c>
      <c r="H130" s="448" t="s">
        <v>338</v>
      </c>
      <c r="I130" s="452"/>
      <c r="J130" s="453" t="s">
        <v>61</v>
      </c>
      <c r="K130" s="368" t="str">
        <f t="shared" si="27"/>
        <v>E2.P_D.MR1</v>
      </c>
      <c r="L130" s="404" t="s">
        <v>309</v>
      </c>
      <c r="M130" s="405" t="s">
        <v>904</v>
      </c>
      <c r="N130" s="369">
        <v>0</v>
      </c>
      <c r="O130" s="282">
        <v>2</v>
      </c>
      <c r="P130" s="371" t="s">
        <v>99</v>
      </c>
      <c r="Q130" s="372" t="str">
        <f t="shared" si="28"/>
        <v>E2.P_D.MR1-MP03-1</v>
      </c>
      <c r="R130" s="416" t="s">
        <v>913</v>
      </c>
      <c r="S130" s="308" t="s">
        <v>914</v>
      </c>
      <c r="T130" s="287">
        <v>0</v>
      </c>
      <c r="U130" s="288">
        <v>1</v>
      </c>
      <c r="V130" s="287" t="s">
        <v>67</v>
      </c>
      <c r="W130" s="309">
        <v>0.2</v>
      </c>
      <c r="X130" s="324">
        <v>0.3</v>
      </c>
      <c r="Y130" s="309">
        <v>0.3</v>
      </c>
      <c r="Z130" s="310">
        <v>0.2</v>
      </c>
      <c r="AA130" s="292"/>
      <c r="AB130" s="293"/>
      <c r="AC130" s="293"/>
      <c r="AD130" s="293"/>
      <c r="AE130" s="293"/>
      <c r="AF130" s="293"/>
      <c r="AG130" s="293"/>
      <c r="AH130" s="293"/>
      <c r="AI130" s="293"/>
      <c r="AJ130" s="293"/>
      <c r="AK130" s="293"/>
      <c r="AL130" s="293"/>
      <c r="AM130" s="293"/>
      <c r="AN130" s="293"/>
      <c r="AO130" s="293"/>
      <c r="AP130" s="293"/>
      <c r="AQ130" s="293"/>
      <c r="AR130" s="293"/>
      <c r="AS130" s="293"/>
      <c r="AT130" s="293"/>
      <c r="AU130" s="293"/>
      <c r="AV130" s="293"/>
      <c r="AW130" s="293"/>
      <c r="AX130" s="293"/>
      <c r="AY130" s="293"/>
      <c r="AZ130" s="293"/>
      <c r="BA130" s="293"/>
      <c r="BB130" s="293"/>
      <c r="BC130" s="294"/>
      <c r="BD130" s="295" t="s">
        <v>832</v>
      </c>
      <c r="BS130" s="86" t="s">
        <v>308</v>
      </c>
      <c r="BT130" s="86" t="s">
        <v>309</v>
      </c>
      <c r="BU130" s="85" t="s">
        <v>911</v>
      </c>
      <c r="BV130" s="84" t="s">
        <v>909</v>
      </c>
      <c r="DH130" s="7" t="s">
        <v>916</v>
      </c>
      <c r="DI130" s="7" t="s">
        <v>300</v>
      </c>
      <c r="DJ130" s="7" t="s">
        <v>337</v>
      </c>
      <c r="DK130" s="7" t="s">
        <v>338</v>
      </c>
      <c r="DL130" s="7" t="s">
        <v>336</v>
      </c>
      <c r="DQ130" s="7" t="s">
        <v>911</v>
      </c>
      <c r="DR130" s="7" t="s">
        <v>909</v>
      </c>
      <c r="EL130" s="822" t="s">
        <v>915</v>
      </c>
      <c r="EM130" s="312" t="s">
        <v>913</v>
      </c>
      <c r="EN130" s="268" t="s">
        <v>914</v>
      </c>
      <c r="EO130" s="268">
        <v>0</v>
      </c>
      <c r="EP130" s="268">
        <v>1</v>
      </c>
      <c r="EQ130" s="270">
        <v>0.2</v>
      </c>
      <c r="ER130" s="270">
        <v>0.3</v>
      </c>
      <c r="ES130" s="270">
        <v>0.3</v>
      </c>
      <c r="ET130" s="823">
        <v>0.2</v>
      </c>
    </row>
    <row r="131" spans="1:150" ht="33" customHeight="1" x14ac:dyDescent="0.2">
      <c r="A131" s="271" t="s">
        <v>76</v>
      </c>
      <c r="B131" s="424" t="s">
        <v>77</v>
      </c>
      <c r="C131" s="425" t="s">
        <v>826</v>
      </c>
      <c r="D131" s="425"/>
      <c r="E131" s="8" t="s">
        <v>641</v>
      </c>
      <c r="F131" s="275" t="str">
        <f t="shared" si="26"/>
        <v>E2.P_D</v>
      </c>
      <c r="G131" s="448" t="s">
        <v>218</v>
      </c>
      <c r="H131" s="448" t="s">
        <v>338</v>
      </c>
      <c r="I131" s="452"/>
      <c r="J131" s="453" t="s">
        <v>61</v>
      </c>
      <c r="K131" s="368" t="str">
        <f t="shared" si="27"/>
        <v>E2.P_D.MR1</v>
      </c>
      <c r="L131" s="404" t="s">
        <v>309</v>
      </c>
      <c r="M131" s="405" t="s">
        <v>904</v>
      </c>
      <c r="N131" s="369">
        <v>0</v>
      </c>
      <c r="O131" s="282">
        <v>2</v>
      </c>
      <c r="P131" s="371" t="s">
        <v>112</v>
      </c>
      <c r="Q131" s="372" t="str">
        <f t="shared" si="28"/>
        <v>E2.P_D.MR1-MP04-1</v>
      </c>
      <c r="R131" s="416" t="s">
        <v>917</v>
      </c>
      <c r="S131" s="308" t="s">
        <v>918</v>
      </c>
      <c r="T131" s="287">
        <v>0</v>
      </c>
      <c r="U131" s="288">
        <v>1</v>
      </c>
      <c r="V131" s="287" t="s">
        <v>67</v>
      </c>
      <c r="W131" s="309">
        <v>0.2</v>
      </c>
      <c r="X131" s="324">
        <v>0.3</v>
      </c>
      <c r="Y131" s="309">
        <v>0.3</v>
      </c>
      <c r="Z131" s="310">
        <v>0.2</v>
      </c>
      <c r="AA131" s="292"/>
      <c r="AB131" s="293"/>
      <c r="AC131" s="293"/>
      <c r="AD131" s="293"/>
      <c r="AE131" s="293"/>
      <c r="AF131" s="293"/>
      <c r="AG131" s="293"/>
      <c r="AH131" s="293"/>
      <c r="AI131" s="293"/>
      <c r="AJ131" s="293"/>
      <c r="AK131" s="293"/>
      <c r="AL131" s="293"/>
      <c r="AM131" s="293"/>
      <c r="AN131" s="293"/>
      <c r="AO131" s="293"/>
      <c r="AP131" s="293"/>
      <c r="AQ131" s="293"/>
      <c r="AR131" s="293"/>
      <c r="AS131" s="293"/>
      <c r="AT131" s="293"/>
      <c r="AU131" s="293"/>
      <c r="AV131" s="293"/>
      <c r="AW131" s="293"/>
      <c r="AX131" s="293"/>
      <c r="AY131" s="293"/>
      <c r="AZ131" s="293"/>
      <c r="BA131" s="293"/>
      <c r="BB131" s="293"/>
      <c r="BC131" s="294"/>
      <c r="BD131" s="295" t="s">
        <v>832</v>
      </c>
      <c r="BS131" s="86" t="s">
        <v>308</v>
      </c>
      <c r="BT131" s="86" t="s">
        <v>309</v>
      </c>
      <c r="BU131" s="85" t="s">
        <v>915</v>
      </c>
      <c r="BV131" s="84" t="s">
        <v>913</v>
      </c>
      <c r="DH131" s="7" t="s">
        <v>920</v>
      </c>
      <c r="DI131" s="7" t="s">
        <v>300</v>
      </c>
      <c r="DJ131" s="7" t="s">
        <v>337</v>
      </c>
      <c r="DK131" s="7" t="s">
        <v>338</v>
      </c>
      <c r="DL131" s="7" t="s">
        <v>336</v>
      </c>
      <c r="DQ131" s="7" t="s">
        <v>915</v>
      </c>
      <c r="DR131" s="7" t="s">
        <v>913</v>
      </c>
      <c r="EL131" s="822" t="s">
        <v>919</v>
      </c>
      <c r="EM131" s="312" t="s">
        <v>917</v>
      </c>
      <c r="EN131" s="268" t="s">
        <v>918</v>
      </c>
      <c r="EO131" s="268">
        <v>0</v>
      </c>
      <c r="EP131" s="268">
        <v>1</v>
      </c>
      <c r="EQ131" s="270">
        <v>0.2</v>
      </c>
      <c r="ER131" s="270">
        <v>0.3</v>
      </c>
      <c r="ES131" s="270">
        <v>0.3</v>
      </c>
      <c r="ET131" s="823">
        <v>0.2</v>
      </c>
    </row>
    <row r="132" spans="1:150" ht="54" customHeight="1" thickBot="1" x14ac:dyDescent="0.25">
      <c r="A132" s="271" t="s">
        <v>76</v>
      </c>
      <c r="B132" s="424" t="s">
        <v>77</v>
      </c>
      <c r="C132" s="425" t="s">
        <v>826</v>
      </c>
      <c r="D132" s="425"/>
      <c r="E132" s="8" t="s">
        <v>641</v>
      </c>
      <c r="F132" s="275" t="str">
        <f t="shared" si="26"/>
        <v>E2.P_D</v>
      </c>
      <c r="G132" s="560" t="s">
        <v>218</v>
      </c>
      <c r="H132" s="560" t="s">
        <v>338</v>
      </c>
      <c r="I132" s="458"/>
      <c r="J132" s="459" t="s">
        <v>61</v>
      </c>
      <c r="K132" s="460" t="str">
        <f t="shared" si="27"/>
        <v>E2.P_D.MR1</v>
      </c>
      <c r="L132" s="420" t="s">
        <v>309</v>
      </c>
      <c r="M132" s="421" t="s">
        <v>904</v>
      </c>
      <c r="N132" s="383">
        <v>0</v>
      </c>
      <c r="O132" s="422">
        <v>2</v>
      </c>
      <c r="P132" s="561" t="s">
        <v>122</v>
      </c>
      <c r="Q132" s="386" t="str">
        <f t="shared" si="28"/>
        <v>E2.P_D.MR1-MP05-1</v>
      </c>
      <c r="R132" s="471" t="s">
        <v>921</v>
      </c>
      <c r="S132" s="331" t="s">
        <v>922</v>
      </c>
      <c r="T132" s="345">
        <v>0</v>
      </c>
      <c r="U132" s="346">
        <v>1</v>
      </c>
      <c r="V132" s="345" t="s">
        <v>67</v>
      </c>
      <c r="W132" s="397">
        <v>0.2</v>
      </c>
      <c r="X132" s="616">
        <v>0.3</v>
      </c>
      <c r="Y132" s="397">
        <v>0.3</v>
      </c>
      <c r="Z132" s="398">
        <v>0.2</v>
      </c>
      <c r="AA132" s="292"/>
      <c r="AB132" s="293"/>
      <c r="AC132" s="293"/>
      <c r="AD132" s="293"/>
      <c r="AE132" s="293"/>
      <c r="AF132" s="293"/>
      <c r="AG132" s="293"/>
      <c r="AH132" s="293"/>
      <c r="AI132" s="293"/>
      <c r="AJ132" s="293"/>
      <c r="AK132" s="293"/>
      <c r="AL132" s="293"/>
      <c r="AM132" s="293"/>
      <c r="AN132" s="293"/>
      <c r="AO132" s="293"/>
      <c r="AP132" s="293"/>
      <c r="AQ132" s="293"/>
      <c r="AR132" s="293"/>
      <c r="AS132" s="293"/>
      <c r="AT132" s="293"/>
      <c r="AU132" s="293"/>
      <c r="AV132" s="293"/>
      <c r="AW132" s="293"/>
      <c r="AX132" s="293"/>
      <c r="AY132" s="293"/>
      <c r="AZ132" s="293"/>
      <c r="BA132" s="293"/>
      <c r="BB132" s="293"/>
      <c r="BC132" s="294"/>
      <c r="BD132" s="295" t="s">
        <v>832</v>
      </c>
      <c r="BS132" s="86" t="s">
        <v>308</v>
      </c>
      <c r="BT132" s="86" t="s">
        <v>309</v>
      </c>
      <c r="BU132" s="85" t="s">
        <v>919</v>
      </c>
      <c r="BV132" s="84" t="s">
        <v>917</v>
      </c>
      <c r="DH132" s="7" t="s">
        <v>924</v>
      </c>
      <c r="DI132" s="7" t="s">
        <v>300</v>
      </c>
      <c r="DJ132" s="7" t="s">
        <v>337</v>
      </c>
      <c r="DK132" s="7" t="s">
        <v>338</v>
      </c>
      <c r="DL132" s="7" t="s">
        <v>336</v>
      </c>
      <c r="DQ132" s="7" t="s">
        <v>919</v>
      </c>
      <c r="DR132" s="7" t="s">
        <v>917</v>
      </c>
      <c r="EL132" s="822" t="s">
        <v>923</v>
      </c>
      <c r="EM132" s="312" t="s">
        <v>921</v>
      </c>
      <c r="EN132" s="268" t="s">
        <v>922</v>
      </c>
      <c r="EO132" s="268">
        <v>0</v>
      </c>
      <c r="EP132" s="268">
        <v>1</v>
      </c>
      <c r="EQ132" s="270">
        <v>0.2</v>
      </c>
      <c r="ER132" s="270">
        <v>0.3</v>
      </c>
      <c r="ES132" s="270">
        <v>0.3</v>
      </c>
      <c r="ET132" s="823">
        <v>0.2</v>
      </c>
    </row>
    <row r="133" spans="1:150" ht="142.5" customHeight="1" x14ac:dyDescent="0.2">
      <c r="A133" s="271" t="s">
        <v>76</v>
      </c>
      <c r="B133" s="424" t="s">
        <v>77</v>
      </c>
      <c r="C133" s="425" t="s">
        <v>826</v>
      </c>
      <c r="D133" s="426" t="s">
        <v>925</v>
      </c>
      <c r="E133" s="3" t="s">
        <v>695</v>
      </c>
      <c r="F133" s="427" t="str">
        <f t="shared" si="26"/>
        <v>E2.P_E</v>
      </c>
      <c r="G133" s="428" t="s">
        <v>230</v>
      </c>
      <c r="H133" s="473" t="s">
        <v>349</v>
      </c>
      <c r="I133" s="449" t="s">
        <v>926</v>
      </c>
      <c r="J133" s="450" t="s">
        <v>61</v>
      </c>
      <c r="K133" s="451" t="str">
        <f t="shared" si="27"/>
        <v>E2.P_E.MR1</v>
      </c>
      <c r="L133" s="355" t="s">
        <v>320</v>
      </c>
      <c r="M133" s="356" t="s">
        <v>927</v>
      </c>
      <c r="N133" s="357">
        <v>665</v>
      </c>
      <c r="O133" s="241">
        <v>1100</v>
      </c>
      <c r="P133" s="359" t="s">
        <v>64</v>
      </c>
      <c r="Q133" s="360" t="str">
        <f t="shared" si="28"/>
        <v>E2.P_E.MR1-MP01-1</v>
      </c>
      <c r="R133" s="412" t="s">
        <v>928</v>
      </c>
      <c r="S133" s="362" t="s">
        <v>929</v>
      </c>
      <c r="T133" s="612">
        <v>0</v>
      </c>
      <c r="U133" s="613">
        <v>2</v>
      </c>
      <c r="V133" s="612" t="s">
        <v>67</v>
      </c>
      <c r="W133" s="628">
        <v>0.5</v>
      </c>
      <c r="X133" s="629">
        <v>0.5</v>
      </c>
      <c r="Y133" s="628">
        <v>0.5</v>
      </c>
      <c r="Z133" s="630">
        <v>0.5</v>
      </c>
      <c r="AA133" s="585">
        <f>97668698+300000000+2331302+180000000+190000000+60000000-461911148</f>
        <v>368088852</v>
      </c>
      <c r="AB133" s="586">
        <v>0</v>
      </c>
      <c r="AC133" s="586">
        <v>50000000</v>
      </c>
      <c r="AD133" s="586">
        <v>0</v>
      </c>
      <c r="AE133" s="586">
        <v>0</v>
      </c>
      <c r="AF133" s="586">
        <f>591+31910557</f>
        <v>31911148</v>
      </c>
      <c r="AG133" s="586">
        <f t="shared" ref="AG133" si="92">SUM(AA133:AF133)</f>
        <v>450000000</v>
      </c>
      <c r="AH133" s="586">
        <f t="shared" ref="AH133:AM133" si="93">AA133*1.035</f>
        <v>380971961.81999999</v>
      </c>
      <c r="AI133" s="586">
        <f t="shared" si="93"/>
        <v>0</v>
      </c>
      <c r="AJ133" s="586">
        <f t="shared" si="93"/>
        <v>51749999.999999993</v>
      </c>
      <c r="AK133" s="586">
        <f t="shared" si="93"/>
        <v>0</v>
      </c>
      <c r="AL133" s="586">
        <f t="shared" si="93"/>
        <v>0</v>
      </c>
      <c r="AM133" s="586">
        <f t="shared" si="93"/>
        <v>33028038.179999996</v>
      </c>
      <c r="AN133" s="586">
        <f t="shared" ref="AN133" si="94">SUM(AH133:AM133)</f>
        <v>465750000</v>
      </c>
      <c r="AO133" s="586">
        <f t="shared" ref="AO133:AT133" si="95">AH133*1.035</f>
        <v>394305980.48369998</v>
      </c>
      <c r="AP133" s="586">
        <f t="shared" si="95"/>
        <v>0</v>
      </c>
      <c r="AQ133" s="586">
        <f t="shared" si="95"/>
        <v>53561249.999999985</v>
      </c>
      <c r="AR133" s="586">
        <f t="shared" si="95"/>
        <v>0</v>
      </c>
      <c r="AS133" s="586">
        <f t="shared" si="95"/>
        <v>0</v>
      </c>
      <c r="AT133" s="586">
        <f t="shared" si="95"/>
        <v>34184019.516299993</v>
      </c>
      <c r="AU133" s="586">
        <f t="shared" ref="AU133" si="96">SUM(AO133:AT133)</f>
        <v>482051250</v>
      </c>
      <c r="AV133" s="586">
        <f t="shared" ref="AV133:BA133" si="97">AO133*1.035</f>
        <v>408106689.80062944</v>
      </c>
      <c r="AW133" s="586">
        <f t="shared" si="97"/>
        <v>0</v>
      </c>
      <c r="AX133" s="586">
        <f t="shared" si="97"/>
        <v>55435893.749999978</v>
      </c>
      <c r="AY133" s="586">
        <f t="shared" si="97"/>
        <v>0</v>
      </c>
      <c r="AZ133" s="586">
        <f t="shared" si="97"/>
        <v>0</v>
      </c>
      <c r="BA133" s="586">
        <f t="shared" si="97"/>
        <v>35380460.199370489</v>
      </c>
      <c r="BB133" s="586">
        <f t="shared" ref="BB133" si="98">SUM(AV133:BA133)</f>
        <v>498923043.74999994</v>
      </c>
      <c r="BC133" s="587">
        <f t="shared" ref="BC133" si="99">+AG133+AN133+AU133+BB133</f>
        <v>1896724293.75</v>
      </c>
      <c r="BD133" s="295" t="s">
        <v>832</v>
      </c>
      <c r="BS133" s="86" t="s">
        <v>308</v>
      </c>
      <c r="BT133" s="86" t="s">
        <v>309</v>
      </c>
      <c r="BU133" s="85" t="s">
        <v>923</v>
      </c>
      <c r="BV133" s="84" t="s">
        <v>921</v>
      </c>
      <c r="DH133" s="7" t="s">
        <v>931</v>
      </c>
      <c r="DI133" s="7" t="s">
        <v>300</v>
      </c>
      <c r="DJ133" s="7" t="s">
        <v>337</v>
      </c>
      <c r="DK133" s="7" t="s">
        <v>338</v>
      </c>
      <c r="DL133" s="7" t="s">
        <v>336</v>
      </c>
      <c r="DQ133" s="7" t="s">
        <v>923</v>
      </c>
      <c r="DR133" s="7" t="s">
        <v>921</v>
      </c>
      <c r="EL133" s="822" t="s">
        <v>930</v>
      </c>
      <c r="EM133" s="312" t="s">
        <v>928</v>
      </c>
      <c r="EN133" s="268" t="s">
        <v>929</v>
      </c>
      <c r="EO133" s="268">
        <v>0</v>
      </c>
      <c r="EP133" s="268">
        <v>2</v>
      </c>
      <c r="EQ133" s="270">
        <v>0.5</v>
      </c>
      <c r="ER133" s="270">
        <v>0.5</v>
      </c>
      <c r="ES133" s="270">
        <v>0.5</v>
      </c>
      <c r="ET133" s="823">
        <v>0.5</v>
      </c>
    </row>
    <row r="134" spans="1:150" ht="54" customHeight="1" x14ac:dyDescent="0.2">
      <c r="A134" s="271" t="s">
        <v>76</v>
      </c>
      <c r="B134" s="424" t="s">
        <v>77</v>
      </c>
      <c r="C134" s="425" t="s">
        <v>826</v>
      </c>
      <c r="D134" s="425"/>
      <c r="E134" s="8" t="s">
        <v>695</v>
      </c>
      <c r="F134" s="275" t="str">
        <f t="shared" si="26"/>
        <v>E2.P_E</v>
      </c>
      <c r="G134" s="565" t="s">
        <v>230</v>
      </c>
      <c r="H134" s="565" t="s">
        <v>349</v>
      </c>
      <c r="I134" s="452"/>
      <c r="J134" s="453" t="s">
        <v>61</v>
      </c>
      <c r="K134" s="368" t="str">
        <f t="shared" si="27"/>
        <v>E2.P_E.MR1</v>
      </c>
      <c r="L134" s="404" t="s">
        <v>320</v>
      </c>
      <c r="M134" s="405" t="s">
        <v>927</v>
      </c>
      <c r="N134" s="369">
        <v>665</v>
      </c>
      <c r="O134" s="282">
        <v>1100</v>
      </c>
      <c r="P134" s="371" t="s">
        <v>87</v>
      </c>
      <c r="Q134" s="372" t="str">
        <f t="shared" si="28"/>
        <v>E2.P_E.MR1-MP02-1</v>
      </c>
      <c r="R134" s="416" t="s">
        <v>932</v>
      </c>
      <c r="S134" s="308" t="s">
        <v>933</v>
      </c>
      <c r="T134" s="287">
        <v>300</v>
      </c>
      <c r="U134" s="288">
        <v>500</v>
      </c>
      <c r="V134" s="287" t="s">
        <v>67</v>
      </c>
      <c r="W134" s="289">
        <v>125</v>
      </c>
      <c r="X134" s="290">
        <v>125</v>
      </c>
      <c r="Y134" s="289">
        <v>125</v>
      </c>
      <c r="Z134" s="291">
        <v>125</v>
      </c>
      <c r="AA134" s="292"/>
      <c r="AB134" s="293"/>
      <c r="AC134" s="293"/>
      <c r="AD134" s="293"/>
      <c r="AE134" s="293"/>
      <c r="AF134" s="293"/>
      <c r="AG134" s="293"/>
      <c r="AH134" s="293"/>
      <c r="AI134" s="293"/>
      <c r="AJ134" s="293"/>
      <c r="AK134" s="293"/>
      <c r="AL134" s="293"/>
      <c r="AM134" s="293"/>
      <c r="AN134" s="293"/>
      <c r="AO134" s="293"/>
      <c r="AP134" s="293"/>
      <c r="AQ134" s="293"/>
      <c r="AR134" s="293"/>
      <c r="AS134" s="293"/>
      <c r="AT134" s="293"/>
      <c r="AU134" s="293"/>
      <c r="AV134" s="293"/>
      <c r="AW134" s="293"/>
      <c r="AX134" s="293"/>
      <c r="AY134" s="293"/>
      <c r="AZ134" s="293"/>
      <c r="BA134" s="293"/>
      <c r="BB134" s="293"/>
      <c r="BC134" s="294"/>
      <c r="BD134" s="295" t="s">
        <v>832</v>
      </c>
      <c r="BS134" s="84" t="s">
        <v>319</v>
      </c>
      <c r="BT134" s="84" t="s">
        <v>320</v>
      </c>
      <c r="BU134" s="87" t="s">
        <v>930</v>
      </c>
      <c r="BV134" s="84" t="s">
        <v>928</v>
      </c>
      <c r="DH134" s="7" t="s">
        <v>935</v>
      </c>
      <c r="DI134" s="7" t="s">
        <v>300</v>
      </c>
      <c r="DJ134" s="7" t="s">
        <v>348</v>
      </c>
      <c r="DK134" s="7" t="s">
        <v>349</v>
      </c>
      <c r="DL134" s="7" t="s">
        <v>347</v>
      </c>
      <c r="DQ134" s="7" t="s">
        <v>930</v>
      </c>
      <c r="DR134" s="7" t="s">
        <v>928</v>
      </c>
      <c r="EL134" s="822" t="s">
        <v>934</v>
      </c>
      <c r="EM134" s="312" t="s">
        <v>932</v>
      </c>
      <c r="EN134" s="268" t="s">
        <v>933</v>
      </c>
      <c r="EO134" s="268">
        <v>300</v>
      </c>
      <c r="EP134" s="268">
        <v>500</v>
      </c>
      <c r="EQ134" s="269">
        <v>125</v>
      </c>
      <c r="ER134" s="269">
        <v>125</v>
      </c>
      <c r="ES134" s="269">
        <v>125</v>
      </c>
      <c r="ET134" s="820">
        <v>125</v>
      </c>
    </row>
    <row r="135" spans="1:150" ht="34.5" customHeight="1" x14ac:dyDescent="0.2">
      <c r="A135" s="271" t="s">
        <v>76</v>
      </c>
      <c r="B135" s="424" t="s">
        <v>77</v>
      </c>
      <c r="C135" s="425" t="s">
        <v>826</v>
      </c>
      <c r="D135" s="425"/>
      <c r="E135" s="8" t="s">
        <v>695</v>
      </c>
      <c r="F135" s="275" t="str">
        <f t="shared" si="26"/>
        <v>E2.P_E</v>
      </c>
      <c r="G135" s="565" t="s">
        <v>230</v>
      </c>
      <c r="H135" s="565" t="s">
        <v>349</v>
      </c>
      <c r="I135" s="452"/>
      <c r="J135" s="453" t="s">
        <v>61</v>
      </c>
      <c r="K135" s="368" t="str">
        <f t="shared" si="27"/>
        <v>E2.P_E.MR1</v>
      </c>
      <c r="L135" s="404" t="s">
        <v>320</v>
      </c>
      <c r="M135" s="405" t="s">
        <v>927</v>
      </c>
      <c r="N135" s="369">
        <v>665</v>
      </c>
      <c r="O135" s="282">
        <v>1100</v>
      </c>
      <c r="P135" s="371" t="s">
        <v>99</v>
      </c>
      <c r="Q135" s="372" t="str">
        <f t="shared" si="28"/>
        <v>E2.P_E.MR1-MP03-1</v>
      </c>
      <c r="R135" s="416" t="s">
        <v>936</v>
      </c>
      <c r="S135" s="308" t="s">
        <v>937</v>
      </c>
      <c r="T135" s="287">
        <v>0</v>
      </c>
      <c r="U135" s="376">
        <v>1</v>
      </c>
      <c r="V135" s="375" t="s">
        <v>67</v>
      </c>
      <c r="W135" s="315">
        <v>0.25</v>
      </c>
      <c r="X135" s="316">
        <v>0.25</v>
      </c>
      <c r="Y135" s="315">
        <v>0.25</v>
      </c>
      <c r="Z135" s="317">
        <v>0.25</v>
      </c>
      <c r="AA135" s="377"/>
      <c r="AB135" s="378"/>
      <c r="AC135" s="378"/>
      <c r="AD135" s="378"/>
      <c r="AE135" s="378"/>
      <c r="AF135" s="378"/>
      <c r="AG135" s="378"/>
      <c r="AH135" s="378"/>
      <c r="AI135" s="378"/>
      <c r="AJ135" s="378"/>
      <c r="AK135" s="378"/>
      <c r="AL135" s="378"/>
      <c r="AM135" s="378"/>
      <c r="AN135" s="378"/>
      <c r="AO135" s="378"/>
      <c r="AP135" s="378"/>
      <c r="AQ135" s="378"/>
      <c r="AR135" s="378"/>
      <c r="AS135" s="378"/>
      <c r="AT135" s="378"/>
      <c r="AU135" s="378"/>
      <c r="AV135" s="378"/>
      <c r="AW135" s="378"/>
      <c r="AX135" s="378"/>
      <c r="AY135" s="378"/>
      <c r="AZ135" s="378"/>
      <c r="BA135" s="378"/>
      <c r="BB135" s="378"/>
      <c r="BC135" s="379"/>
      <c r="BD135" s="295" t="s">
        <v>832</v>
      </c>
      <c r="BS135" s="86" t="s">
        <v>319</v>
      </c>
      <c r="BT135" s="86" t="s">
        <v>320</v>
      </c>
      <c r="BU135" s="87" t="s">
        <v>934</v>
      </c>
      <c r="BV135" s="84" t="s">
        <v>932</v>
      </c>
      <c r="DH135" s="7" t="s">
        <v>939</v>
      </c>
      <c r="DI135" s="7" t="s">
        <v>300</v>
      </c>
      <c r="DJ135" s="7" t="s">
        <v>348</v>
      </c>
      <c r="DK135" s="7" t="s">
        <v>349</v>
      </c>
      <c r="DL135" s="7" t="s">
        <v>347</v>
      </c>
      <c r="DQ135" s="7" t="s">
        <v>934</v>
      </c>
      <c r="DR135" s="7" t="s">
        <v>932</v>
      </c>
      <c r="EL135" s="822" t="s">
        <v>938</v>
      </c>
      <c r="EM135" s="312" t="s">
        <v>936</v>
      </c>
      <c r="EN135" s="268" t="s">
        <v>937</v>
      </c>
      <c r="EO135" s="268">
        <v>0</v>
      </c>
      <c r="EP135" s="380">
        <v>1</v>
      </c>
      <c r="EQ135" s="323">
        <v>0.25</v>
      </c>
      <c r="ER135" s="810">
        <v>0.05</v>
      </c>
      <c r="ES135" s="810">
        <v>0.35</v>
      </c>
      <c r="ET135" s="821">
        <v>0.35</v>
      </c>
    </row>
    <row r="136" spans="1:150" ht="34.5" customHeight="1" x14ac:dyDescent="0.2">
      <c r="A136" s="271" t="s">
        <v>76</v>
      </c>
      <c r="B136" s="424" t="s">
        <v>77</v>
      </c>
      <c r="C136" s="425" t="s">
        <v>826</v>
      </c>
      <c r="D136" s="425"/>
      <c r="E136" s="8" t="s">
        <v>695</v>
      </c>
      <c r="F136" s="275" t="str">
        <f t="shared" si="26"/>
        <v>E2.P_E</v>
      </c>
      <c r="G136" s="565" t="s">
        <v>230</v>
      </c>
      <c r="H136" s="565" t="s">
        <v>349</v>
      </c>
      <c r="I136" s="452"/>
      <c r="J136" s="453" t="s">
        <v>61</v>
      </c>
      <c r="K136" s="368" t="str">
        <f t="shared" si="27"/>
        <v>E2.P_E.MR1</v>
      </c>
      <c r="L136" s="404" t="s">
        <v>320</v>
      </c>
      <c r="M136" s="405" t="s">
        <v>927</v>
      </c>
      <c r="N136" s="369">
        <v>665</v>
      </c>
      <c r="O136" s="282">
        <v>1100</v>
      </c>
      <c r="P136" s="371" t="s">
        <v>112</v>
      </c>
      <c r="Q136" s="372" t="str">
        <f t="shared" si="28"/>
        <v>E2.P_E.MR1-MP04-1</v>
      </c>
      <c r="R136" s="416" t="s">
        <v>940</v>
      </c>
      <c r="S136" s="308" t="s">
        <v>941</v>
      </c>
      <c r="T136" s="287">
        <v>0</v>
      </c>
      <c r="U136" s="288">
        <v>8</v>
      </c>
      <c r="V136" s="287" t="s">
        <v>67</v>
      </c>
      <c r="W136" s="289">
        <v>2</v>
      </c>
      <c r="X136" s="290">
        <v>2</v>
      </c>
      <c r="Y136" s="289">
        <v>2</v>
      </c>
      <c r="Z136" s="291">
        <v>2</v>
      </c>
      <c r="AA136" s="292"/>
      <c r="AB136" s="293"/>
      <c r="AC136" s="293"/>
      <c r="AD136" s="293"/>
      <c r="AE136" s="293"/>
      <c r="AF136" s="293"/>
      <c r="AG136" s="293"/>
      <c r="AH136" s="293"/>
      <c r="AI136" s="293"/>
      <c r="AJ136" s="293"/>
      <c r="AK136" s="293"/>
      <c r="AL136" s="293"/>
      <c r="AM136" s="293"/>
      <c r="AN136" s="293"/>
      <c r="AO136" s="293"/>
      <c r="AP136" s="293"/>
      <c r="AQ136" s="293"/>
      <c r="AR136" s="293"/>
      <c r="AS136" s="293"/>
      <c r="AT136" s="293"/>
      <c r="AU136" s="293"/>
      <c r="AV136" s="293"/>
      <c r="AW136" s="293"/>
      <c r="AX136" s="293"/>
      <c r="AY136" s="293"/>
      <c r="AZ136" s="293"/>
      <c r="BA136" s="293"/>
      <c r="BB136" s="293"/>
      <c r="BC136" s="294"/>
      <c r="BD136" s="295" t="s">
        <v>832</v>
      </c>
      <c r="BS136" s="86" t="s">
        <v>319</v>
      </c>
      <c r="BT136" s="86" t="s">
        <v>320</v>
      </c>
      <c r="BU136" s="87" t="s">
        <v>938</v>
      </c>
      <c r="BV136" s="84" t="s">
        <v>936</v>
      </c>
      <c r="DH136" s="7" t="s">
        <v>943</v>
      </c>
      <c r="DI136" s="7" t="s">
        <v>300</v>
      </c>
      <c r="DJ136" s="7" t="s">
        <v>348</v>
      </c>
      <c r="DK136" s="7" t="s">
        <v>349</v>
      </c>
      <c r="DL136" s="7" t="s">
        <v>347</v>
      </c>
      <c r="DQ136" s="7" t="s">
        <v>938</v>
      </c>
      <c r="DR136" s="7" t="s">
        <v>936</v>
      </c>
      <c r="EL136" s="822" t="s">
        <v>942</v>
      </c>
      <c r="EM136" s="312" t="s">
        <v>940</v>
      </c>
      <c r="EN136" s="268" t="s">
        <v>941</v>
      </c>
      <c r="EO136" s="268">
        <v>0</v>
      </c>
      <c r="EP136" s="268">
        <v>8</v>
      </c>
      <c r="EQ136" s="269">
        <v>2</v>
      </c>
      <c r="ER136" s="269">
        <v>2</v>
      </c>
      <c r="ES136" s="269">
        <v>2</v>
      </c>
      <c r="ET136" s="820">
        <v>2</v>
      </c>
    </row>
    <row r="137" spans="1:150" ht="46.5" customHeight="1" x14ac:dyDescent="0.2">
      <c r="A137" s="271" t="s">
        <v>76</v>
      </c>
      <c r="B137" s="424" t="s">
        <v>77</v>
      </c>
      <c r="C137" s="425" t="s">
        <v>826</v>
      </c>
      <c r="D137" s="425"/>
      <c r="E137" s="8" t="s">
        <v>695</v>
      </c>
      <c r="F137" s="275" t="str">
        <f t="shared" si="26"/>
        <v>E2.P_E</v>
      </c>
      <c r="G137" s="565" t="s">
        <v>230</v>
      </c>
      <c r="H137" s="565" t="s">
        <v>349</v>
      </c>
      <c r="I137" s="452"/>
      <c r="J137" s="453" t="s">
        <v>61</v>
      </c>
      <c r="K137" s="368" t="str">
        <f t="shared" si="27"/>
        <v>E2.P_E.MR1</v>
      </c>
      <c r="L137" s="404" t="s">
        <v>320</v>
      </c>
      <c r="M137" s="405" t="s">
        <v>927</v>
      </c>
      <c r="N137" s="369">
        <v>665</v>
      </c>
      <c r="O137" s="282">
        <v>1100</v>
      </c>
      <c r="P137" s="371" t="s">
        <v>122</v>
      </c>
      <c r="Q137" s="372" t="str">
        <f t="shared" si="28"/>
        <v>E2.P_E.MR1-MP05-1</v>
      </c>
      <c r="R137" s="416" t="s">
        <v>944</v>
      </c>
      <c r="S137" s="308" t="s">
        <v>945</v>
      </c>
      <c r="T137" s="287">
        <v>6</v>
      </c>
      <c r="U137" s="288">
        <v>194</v>
      </c>
      <c r="V137" s="287" t="s">
        <v>67</v>
      </c>
      <c r="W137" s="289">
        <v>48</v>
      </c>
      <c r="X137" s="290">
        <v>48</v>
      </c>
      <c r="Y137" s="289">
        <v>48</v>
      </c>
      <c r="Z137" s="291">
        <v>50</v>
      </c>
      <c r="AA137" s="292"/>
      <c r="AB137" s="293"/>
      <c r="AC137" s="293"/>
      <c r="AD137" s="293"/>
      <c r="AE137" s="293"/>
      <c r="AF137" s="293"/>
      <c r="AG137" s="293"/>
      <c r="AH137" s="293"/>
      <c r="AI137" s="293"/>
      <c r="AJ137" s="293"/>
      <c r="AK137" s="293"/>
      <c r="AL137" s="293"/>
      <c r="AM137" s="293"/>
      <c r="AN137" s="293"/>
      <c r="AO137" s="293"/>
      <c r="AP137" s="293"/>
      <c r="AQ137" s="293"/>
      <c r="AR137" s="293"/>
      <c r="AS137" s="293"/>
      <c r="AT137" s="293"/>
      <c r="AU137" s="293"/>
      <c r="AV137" s="293"/>
      <c r="AW137" s="293"/>
      <c r="AX137" s="293"/>
      <c r="AY137" s="293"/>
      <c r="AZ137" s="293"/>
      <c r="BA137" s="293"/>
      <c r="BB137" s="293"/>
      <c r="BC137" s="294"/>
      <c r="BD137" s="295" t="s">
        <v>832</v>
      </c>
      <c r="BS137" s="86" t="s">
        <v>319</v>
      </c>
      <c r="BT137" s="86" t="s">
        <v>320</v>
      </c>
      <c r="BU137" s="87" t="s">
        <v>942</v>
      </c>
      <c r="BV137" s="84" t="s">
        <v>940</v>
      </c>
      <c r="DH137" s="7" t="s">
        <v>947</v>
      </c>
      <c r="DI137" s="7" t="s">
        <v>300</v>
      </c>
      <c r="DJ137" s="7" t="s">
        <v>348</v>
      </c>
      <c r="DK137" s="7" t="s">
        <v>349</v>
      </c>
      <c r="DL137" s="7" t="s">
        <v>347</v>
      </c>
      <c r="DQ137" s="7" t="s">
        <v>942</v>
      </c>
      <c r="DR137" s="7" t="s">
        <v>940</v>
      </c>
      <c r="EL137" s="822" t="s">
        <v>946</v>
      </c>
      <c r="EM137" s="312" t="s">
        <v>944</v>
      </c>
      <c r="EN137" s="268" t="s">
        <v>945</v>
      </c>
      <c r="EO137" s="268">
        <v>6</v>
      </c>
      <c r="EP137" s="268">
        <v>194</v>
      </c>
      <c r="EQ137" s="269">
        <v>48</v>
      </c>
      <c r="ER137" s="269">
        <v>48</v>
      </c>
      <c r="ES137" s="269">
        <v>48</v>
      </c>
      <c r="ET137" s="820">
        <v>50</v>
      </c>
    </row>
    <row r="138" spans="1:150" ht="45.75" customHeight="1" thickBot="1" x14ac:dyDescent="0.25">
      <c r="A138" s="271" t="s">
        <v>76</v>
      </c>
      <c r="B138" s="424" t="s">
        <v>77</v>
      </c>
      <c r="C138" s="425" t="s">
        <v>826</v>
      </c>
      <c r="D138" s="425"/>
      <c r="E138" s="8" t="s">
        <v>695</v>
      </c>
      <c r="F138" s="275" t="str">
        <f t="shared" ref="F138:F201" si="100">+CONCATENATE(A138,E138)</f>
        <v>E2.P_E</v>
      </c>
      <c r="G138" s="566" t="s">
        <v>230</v>
      </c>
      <c r="H138" s="566" t="s">
        <v>349</v>
      </c>
      <c r="I138" s="458"/>
      <c r="J138" s="459" t="s">
        <v>61</v>
      </c>
      <c r="K138" s="460" t="str">
        <f t="shared" ref="K138:K201" si="101">+CONCATENATE(F138,".",J138)</f>
        <v>E2.P_E.MR1</v>
      </c>
      <c r="L138" s="420" t="s">
        <v>320</v>
      </c>
      <c r="M138" s="421" t="s">
        <v>927</v>
      </c>
      <c r="N138" s="383">
        <v>665</v>
      </c>
      <c r="O138" s="422">
        <v>1100</v>
      </c>
      <c r="P138" s="385" t="s">
        <v>132</v>
      </c>
      <c r="Q138" s="386" t="str">
        <f t="shared" ref="Q138:Q201" si="102">+CONCATENATE(K138,"-",P138)</f>
        <v>E2.P_E.MR1-MP06-1</v>
      </c>
      <c r="R138" s="471" t="s">
        <v>948</v>
      </c>
      <c r="S138" s="331" t="s">
        <v>949</v>
      </c>
      <c r="T138" s="332">
        <v>0</v>
      </c>
      <c r="U138" s="615">
        <v>1</v>
      </c>
      <c r="V138" s="614" t="s">
        <v>67</v>
      </c>
      <c r="W138" s="499">
        <v>0.25</v>
      </c>
      <c r="X138" s="498">
        <v>0.25</v>
      </c>
      <c r="Y138" s="499">
        <v>0.25</v>
      </c>
      <c r="Z138" s="631">
        <v>0.25</v>
      </c>
      <c r="AA138" s="377"/>
      <c r="AB138" s="378"/>
      <c r="AC138" s="378"/>
      <c r="AD138" s="378"/>
      <c r="AE138" s="378"/>
      <c r="AF138" s="378"/>
      <c r="AG138" s="378"/>
      <c r="AH138" s="378"/>
      <c r="AI138" s="378"/>
      <c r="AJ138" s="378"/>
      <c r="AK138" s="378"/>
      <c r="AL138" s="378"/>
      <c r="AM138" s="378"/>
      <c r="AN138" s="378"/>
      <c r="AO138" s="378"/>
      <c r="AP138" s="378"/>
      <c r="AQ138" s="378"/>
      <c r="AR138" s="378"/>
      <c r="AS138" s="378"/>
      <c r="AT138" s="378"/>
      <c r="AU138" s="378"/>
      <c r="AV138" s="378"/>
      <c r="AW138" s="378"/>
      <c r="AX138" s="378"/>
      <c r="AY138" s="378"/>
      <c r="AZ138" s="378"/>
      <c r="BA138" s="378"/>
      <c r="BB138" s="378"/>
      <c r="BC138" s="379"/>
      <c r="BD138" s="295" t="s">
        <v>832</v>
      </c>
      <c r="BS138" s="86" t="s">
        <v>319</v>
      </c>
      <c r="BT138" s="86" t="s">
        <v>320</v>
      </c>
      <c r="BU138" s="87" t="s">
        <v>946</v>
      </c>
      <c r="BV138" s="84" t="s">
        <v>944</v>
      </c>
      <c r="DH138" s="7" t="s">
        <v>951</v>
      </c>
      <c r="DI138" s="7" t="s">
        <v>300</v>
      </c>
      <c r="DJ138" s="7" t="s">
        <v>348</v>
      </c>
      <c r="DK138" s="7" t="s">
        <v>349</v>
      </c>
      <c r="DL138" s="7" t="s">
        <v>347</v>
      </c>
      <c r="DQ138" s="7" t="s">
        <v>946</v>
      </c>
      <c r="DR138" s="7" t="s">
        <v>944</v>
      </c>
      <c r="EL138" s="822" t="s">
        <v>950</v>
      </c>
      <c r="EM138" s="312" t="s">
        <v>948</v>
      </c>
      <c r="EN138" s="268" t="s">
        <v>949</v>
      </c>
      <c r="EO138" s="268">
        <v>0</v>
      </c>
      <c r="EP138" s="380">
        <v>1</v>
      </c>
      <c r="EQ138" s="323">
        <v>0.25</v>
      </c>
      <c r="ER138" s="323">
        <v>0.25</v>
      </c>
      <c r="ES138" s="323">
        <v>0.25</v>
      </c>
      <c r="ET138" s="819">
        <v>0.25</v>
      </c>
    </row>
    <row r="139" spans="1:150" ht="86.25" customHeight="1" x14ac:dyDescent="0.2">
      <c r="A139" s="271" t="s">
        <v>76</v>
      </c>
      <c r="B139" s="424" t="s">
        <v>77</v>
      </c>
      <c r="C139" s="425" t="s">
        <v>826</v>
      </c>
      <c r="D139" s="426" t="s">
        <v>827</v>
      </c>
      <c r="E139" s="22" t="s">
        <v>718</v>
      </c>
      <c r="F139" s="3" t="str">
        <f t="shared" si="100"/>
        <v>E2.P_F</v>
      </c>
      <c r="G139" s="474" t="s">
        <v>239</v>
      </c>
      <c r="H139" s="473" t="s">
        <v>360</v>
      </c>
      <c r="I139" s="449" t="s">
        <v>952</v>
      </c>
      <c r="J139" s="450" t="s">
        <v>61</v>
      </c>
      <c r="K139" s="411" t="str">
        <f t="shared" si="101"/>
        <v>E2.P_F.MR1</v>
      </c>
      <c r="L139" s="355" t="s">
        <v>334</v>
      </c>
      <c r="M139" s="356" t="s">
        <v>953</v>
      </c>
      <c r="N139" s="357">
        <v>25</v>
      </c>
      <c r="O139" s="241">
        <v>90</v>
      </c>
      <c r="P139" s="359" t="s">
        <v>64</v>
      </c>
      <c r="Q139" s="360" t="str">
        <f t="shared" si="102"/>
        <v>E2.P_F.MR1-MP01-1</v>
      </c>
      <c r="R139" s="412" t="s">
        <v>954</v>
      </c>
      <c r="S139" s="362" t="s">
        <v>955</v>
      </c>
      <c r="T139" s="363">
        <v>0</v>
      </c>
      <c r="U139" s="364">
        <v>1</v>
      </c>
      <c r="V139" s="363" t="s">
        <v>67</v>
      </c>
      <c r="W139" s="249">
        <v>0</v>
      </c>
      <c r="X139" s="250">
        <v>0.5</v>
      </c>
      <c r="Y139" s="557">
        <v>0.25</v>
      </c>
      <c r="Z139" s="559">
        <v>0.25</v>
      </c>
      <c r="AA139" s="585">
        <v>100000000</v>
      </c>
      <c r="AB139" s="586"/>
      <c r="AC139" s="586">
        <v>0</v>
      </c>
      <c r="AD139" s="586"/>
      <c r="AE139" s="586"/>
      <c r="AF139" s="586"/>
      <c r="AG139" s="586">
        <f t="shared" ref="AG139" si="103">SUM(AA139:AF139)</f>
        <v>100000000</v>
      </c>
      <c r="AH139" s="586">
        <f t="shared" ref="AH139:AM139" si="104">AA139*1.035</f>
        <v>103499999.99999999</v>
      </c>
      <c r="AI139" s="586">
        <f t="shared" si="104"/>
        <v>0</v>
      </c>
      <c r="AJ139" s="586">
        <f t="shared" si="104"/>
        <v>0</v>
      </c>
      <c r="AK139" s="586">
        <f t="shared" si="104"/>
        <v>0</v>
      </c>
      <c r="AL139" s="586">
        <f t="shared" si="104"/>
        <v>0</v>
      </c>
      <c r="AM139" s="586">
        <f t="shared" si="104"/>
        <v>0</v>
      </c>
      <c r="AN139" s="586">
        <f t="shared" ref="AN139" si="105">SUM(AH139:AM139)</f>
        <v>103499999.99999999</v>
      </c>
      <c r="AO139" s="586">
        <f t="shared" ref="AO139:AT139" si="106">AH139*1.035</f>
        <v>107122499.99999997</v>
      </c>
      <c r="AP139" s="586">
        <f t="shared" si="106"/>
        <v>0</v>
      </c>
      <c r="AQ139" s="586">
        <f t="shared" si="106"/>
        <v>0</v>
      </c>
      <c r="AR139" s="586">
        <f t="shared" si="106"/>
        <v>0</v>
      </c>
      <c r="AS139" s="586">
        <f t="shared" si="106"/>
        <v>0</v>
      </c>
      <c r="AT139" s="586">
        <f t="shared" si="106"/>
        <v>0</v>
      </c>
      <c r="AU139" s="586">
        <f t="shared" ref="AU139" si="107">SUM(AO139:AT139)</f>
        <v>107122499.99999997</v>
      </c>
      <c r="AV139" s="586">
        <f t="shared" ref="AV139:BA139" si="108">AO139*1.035</f>
        <v>110871787.49999996</v>
      </c>
      <c r="AW139" s="586">
        <f t="shared" si="108"/>
        <v>0</v>
      </c>
      <c r="AX139" s="586">
        <f t="shared" si="108"/>
        <v>0</v>
      </c>
      <c r="AY139" s="586">
        <f t="shared" si="108"/>
        <v>0</v>
      </c>
      <c r="AZ139" s="586">
        <f t="shared" si="108"/>
        <v>0</v>
      </c>
      <c r="BA139" s="586">
        <f t="shared" si="108"/>
        <v>0</v>
      </c>
      <c r="BB139" s="586">
        <f t="shared" ref="BB139" si="109">SUM(AV139:BA139)</f>
        <v>110871787.49999996</v>
      </c>
      <c r="BC139" s="587">
        <f t="shared" ref="BC139" si="110">+AG139+AN139+AU139+BB139</f>
        <v>421494287.49999994</v>
      </c>
      <c r="BD139" s="295" t="s">
        <v>832</v>
      </c>
      <c r="BS139" s="86" t="s">
        <v>319</v>
      </c>
      <c r="BT139" s="86" t="s">
        <v>320</v>
      </c>
      <c r="BU139" s="87" t="s">
        <v>950</v>
      </c>
      <c r="BV139" s="84" t="s">
        <v>948</v>
      </c>
      <c r="DH139" s="7" t="s">
        <v>957</v>
      </c>
      <c r="DI139" s="7" t="s">
        <v>300</v>
      </c>
      <c r="DJ139" s="7" t="s">
        <v>348</v>
      </c>
      <c r="DK139" s="7" t="s">
        <v>349</v>
      </c>
      <c r="DL139" s="7" t="s">
        <v>347</v>
      </c>
      <c r="DQ139" s="7" t="s">
        <v>950</v>
      </c>
      <c r="DR139" s="7" t="s">
        <v>948</v>
      </c>
      <c r="EL139" s="822" t="s">
        <v>956</v>
      </c>
      <c r="EM139" s="312" t="s">
        <v>954</v>
      </c>
      <c r="EN139" s="268" t="s">
        <v>955</v>
      </c>
      <c r="EO139" s="268">
        <v>0</v>
      </c>
      <c r="EP139" s="268">
        <v>1</v>
      </c>
      <c r="EQ139" s="269">
        <v>0</v>
      </c>
      <c r="ER139" s="809">
        <v>0</v>
      </c>
      <c r="ES139" s="810">
        <v>0.5</v>
      </c>
      <c r="ET139" s="821">
        <v>0.5</v>
      </c>
    </row>
    <row r="140" spans="1:150" ht="42" customHeight="1" x14ac:dyDescent="0.2">
      <c r="A140" s="271" t="s">
        <v>76</v>
      </c>
      <c r="B140" s="424" t="s">
        <v>77</v>
      </c>
      <c r="C140" s="425" t="s">
        <v>826</v>
      </c>
      <c r="D140" s="632"/>
      <c r="E140" s="23" t="s">
        <v>718</v>
      </c>
      <c r="F140" s="23" t="str">
        <f t="shared" si="100"/>
        <v>E2.P_F</v>
      </c>
      <c r="G140" s="405" t="s">
        <v>239</v>
      </c>
      <c r="H140" s="448" t="s">
        <v>360</v>
      </c>
      <c r="I140" s="452"/>
      <c r="J140" s="453" t="s">
        <v>61</v>
      </c>
      <c r="K140" s="368" t="str">
        <f t="shared" si="101"/>
        <v>E2.P_F.MR1</v>
      </c>
      <c r="L140" s="404" t="s">
        <v>334</v>
      </c>
      <c r="M140" s="405" t="s">
        <v>953</v>
      </c>
      <c r="N140" s="369">
        <v>25</v>
      </c>
      <c r="O140" s="282">
        <v>90</v>
      </c>
      <c r="P140" s="371" t="s">
        <v>87</v>
      </c>
      <c r="Q140" s="372" t="str">
        <f t="shared" si="102"/>
        <v>E2.P_F.MR1-MP02-1</v>
      </c>
      <c r="R140" s="416" t="s">
        <v>958</v>
      </c>
      <c r="S140" s="308" t="s">
        <v>959</v>
      </c>
      <c r="T140" s="287">
        <v>0</v>
      </c>
      <c r="U140" s="288">
        <v>1</v>
      </c>
      <c r="V140" s="287" t="s">
        <v>67</v>
      </c>
      <c r="W140" s="315">
        <v>0.25</v>
      </c>
      <c r="X140" s="316">
        <v>0.25</v>
      </c>
      <c r="Y140" s="315">
        <v>0.25</v>
      </c>
      <c r="Z140" s="317">
        <v>0.25</v>
      </c>
      <c r="AA140" s="292"/>
      <c r="AB140" s="293"/>
      <c r="AC140" s="293"/>
      <c r="AD140" s="293"/>
      <c r="AE140" s="293"/>
      <c r="AF140" s="293"/>
      <c r="AG140" s="293"/>
      <c r="AH140" s="293"/>
      <c r="AI140" s="293"/>
      <c r="AJ140" s="293"/>
      <c r="AK140" s="293"/>
      <c r="AL140" s="293"/>
      <c r="AM140" s="293"/>
      <c r="AN140" s="293"/>
      <c r="AO140" s="293"/>
      <c r="AP140" s="293"/>
      <c r="AQ140" s="293"/>
      <c r="AR140" s="293"/>
      <c r="AS140" s="293"/>
      <c r="AT140" s="293"/>
      <c r="AU140" s="293"/>
      <c r="AV140" s="293"/>
      <c r="AW140" s="293"/>
      <c r="AX140" s="293"/>
      <c r="AY140" s="293"/>
      <c r="AZ140" s="293"/>
      <c r="BA140" s="293"/>
      <c r="BB140" s="293"/>
      <c r="BC140" s="294"/>
      <c r="BD140" s="295" t="s">
        <v>832</v>
      </c>
      <c r="BS140" s="84" t="s">
        <v>333</v>
      </c>
      <c r="BT140" s="84" t="s">
        <v>334</v>
      </c>
      <c r="BU140" s="87" t="s">
        <v>956</v>
      </c>
      <c r="BV140" s="84" t="s">
        <v>954</v>
      </c>
      <c r="DH140" s="7" t="s">
        <v>961</v>
      </c>
      <c r="DI140" s="7" t="s">
        <v>300</v>
      </c>
      <c r="DJ140" s="7" t="s">
        <v>359</v>
      </c>
      <c r="DK140" s="7" t="s">
        <v>360</v>
      </c>
      <c r="DL140" s="7" t="s">
        <v>358</v>
      </c>
      <c r="DQ140" s="7" t="s">
        <v>956</v>
      </c>
      <c r="DR140" s="7" t="s">
        <v>954</v>
      </c>
      <c r="EL140" s="822" t="s">
        <v>960</v>
      </c>
      <c r="EM140" s="312" t="s">
        <v>958</v>
      </c>
      <c r="EN140" s="268" t="s">
        <v>959</v>
      </c>
      <c r="EO140" s="268">
        <v>0</v>
      </c>
      <c r="EP140" s="268">
        <v>1</v>
      </c>
      <c r="EQ140" s="323">
        <v>0.25</v>
      </c>
      <c r="ER140" s="323">
        <v>0.25</v>
      </c>
      <c r="ES140" s="323">
        <v>0.25</v>
      </c>
      <c r="ET140" s="819">
        <v>0.25</v>
      </c>
    </row>
    <row r="141" spans="1:150" ht="36.75" customHeight="1" x14ac:dyDescent="0.2">
      <c r="A141" s="271" t="s">
        <v>76</v>
      </c>
      <c r="B141" s="424" t="s">
        <v>77</v>
      </c>
      <c r="C141" s="425" t="s">
        <v>826</v>
      </c>
      <c r="D141" s="632"/>
      <c r="E141" s="23" t="s">
        <v>718</v>
      </c>
      <c r="F141" s="23" t="str">
        <f t="shared" si="100"/>
        <v>E2.P_F</v>
      </c>
      <c r="G141" s="405" t="s">
        <v>239</v>
      </c>
      <c r="H141" s="448" t="s">
        <v>360</v>
      </c>
      <c r="I141" s="452"/>
      <c r="J141" s="453" t="s">
        <v>61</v>
      </c>
      <c r="K141" s="368" t="str">
        <f t="shared" si="101"/>
        <v>E2.P_F.MR1</v>
      </c>
      <c r="L141" s="404" t="s">
        <v>334</v>
      </c>
      <c r="M141" s="405" t="s">
        <v>953</v>
      </c>
      <c r="N141" s="369">
        <v>25</v>
      </c>
      <c r="O141" s="282">
        <v>90</v>
      </c>
      <c r="P141" s="371" t="s">
        <v>99</v>
      </c>
      <c r="Q141" s="372" t="str">
        <f t="shared" si="102"/>
        <v>E2.P_F.MR1-MP03-1</v>
      </c>
      <c r="R141" s="416" t="s">
        <v>962</v>
      </c>
      <c r="S141" s="308" t="s">
        <v>963</v>
      </c>
      <c r="T141" s="287">
        <v>1</v>
      </c>
      <c r="U141" s="288">
        <v>2</v>
      </c>
      <c r="V141" s="287" t="s">
        <v>67</v>
      </c>
      <c r="W141" s="309">
        <v>0.5</v>
      </c>
      <c r="X141" s="324">
        <v>0.5</v>
      </c>
      <c r="Y141" s="309">
        <v>0.5</v>
      </c>
      <c r="Z141" s="310">
        <v>0.5</v>
      </c>
      <c r="AA141" s="292"/>
      <c r="AB141" s="293"/>
      <c r="AC141" s="293"/>
      <c r="AD141" s="293"/>
      <c r="AE141" s="293"/>
      <c r="AF141" s="293"/>
      <c r="AG141" s="293"/>
      <c r="AH141" s="293"/>
      <c r="AI141" s="293"/>
      <c r="AJ141" s="293"/>
      <c r="AK141" s="293"/>
      <c r="AL141" s="293"/>
      <c r="AM141" s="293"/>
      <c r="AN141" s="293"/>
      <c r="AO141" s="293"/>
      <c r="AP141" s="293"/>
      <c r="AQ141" s="293"/>
      <c r="AR141" s="293"/>
      <c r="AS141" s="293"/>
      <c r="AT141" s="293"/>
      <c r="AU141" s="293"/>
      <c r="AV141" s="293"/>
      <c r="AW141" s="293"/>
      <c r="AX141" s="293"/>
      <c r="AY141" s="293"/>
      <c r="AZ141" s="293"/>
      <c r="BA141" s="293"/>
      <c r="BB141" s="293"/>
      <c r="BC141" s="294"/>
      <c r="BD141" s="295" t="s">
        <v>832</v>
      </c>
      <c r="BS141" s="86" t="s">
        <v>333</v>
      </c>
      <c r="BT141" s="86" t="s">
        <v>334</v>
      </c>
      <c r="BU141" s="87" t="s">
        <v>960</v>
      </c>
      <c r="BV141" s="84" t="s">
        <v>958</v>
      </c>
      <c r="DH141" s="7" t="s">
        <v>965</v>
      </c>
      <c r="DI141" s="7" t="s">
        <v>300</v>
      </c>
      <c r="DJ141" s="7" t="s">
        <v>359</v>
      </c>
      <c r="DK141" s="7" t="s">
        <v>360</v>
      </c>
      <c r="DL141" s="7" t="s">
        <v>358</v>
      </c>
      <c r="DQ141" s="7" t="s">
        <v>960</v>
      </c>
      <c r="DR141" s="7" t="s">
        <v>958</v>
      </c>
      <c r="EL141" s="822" t="s">
        <v>964</v>
      </c>
      <c r="EM141" s="312" t="s">
        <v>962</v>
      </c>
      <c r="EN141" s="268" t="s">
        <v>963</v>
      </c>
      <c r="EO141" s="268">
        <v>1</v>
      </c>
      <c r="EP141" s="268">
        <v>2</v>
      </c>
      <c r="EQ141" s="270">
        <v>0.5</v>
      </c>
      <c r="ER141" s="270">
        <v>0.5</v>
      </c>
      <c r="ES141" s="270">
        <v>0.5</v>
      </c>
      <c r="ET141" s="823">
        <v>0.5</v>
      </c>
    </row>
    <row r="142" spans="1:150" ht="36" customHeight="1" x14ac:dyDescent="0.2">
      <c r="A142" s="271" t="s">
        <v>76</v>
      </c>
      <c r="B142" s="424" t="s">
        <v>77</v>
      </c>
      <c r="C142" s="425" t="s">
        <v>826</v>
      </c>
      <c r="D142" s="632"/>
      <c r="E142" s="23" t="s">
        <v>718</v>
      </c>
      <c r="F142" s="23" t="str">
        <f t="shared" si="100"/>
        <v>E2.P_F</v>
      </c>
      <c r="G142" s="405" t="s">
        <v>239</v>
      </c>
      <c r="H142" s="448" t="s">
        <v>360</v>
      </c>
      <c r="I142" s="452"/>
      <c r="J142" s="453" t="s">
        <v>61</v>
      </c>
      <c r="K142" s="368" t="str">
        <f t="shared" si="101"/>
        <v>E2.P_F.MR1</v>
      </c>
      <c r="L142" s="404" t="s">
        <v>334</v>
      </c>
      <c r="M142" s="405" t="s">
        <v>953</v>
      </c>
      <c r="N142" s="369">
        <v>25</v>
      </c>
      <c r="O142" s="282">
        <v>90</v>
      </c>
      <c r="P142" s="371" t="s">
        <v>112</v>
      </c>
      <c r="Q142" s="372" t="str">
        <f t="shared" si="102"/>
        <v>E2.P_F.MR1-MP04-1</v>
      </c>
      <c r="R142" s="416" t="s">
        <v>966</v>
      </c>
      <c r="S142" s="308" t="s">
        <v>967</v>
      </c>
      <c r="T142" s="287">
        <v>10</v>
      </c>
      <c r="U142" s="288">
        <v>20</v>
      </c>
      <c r="V142" s="287" t="s">
        <v>67</v>
      </c>
      <c r="W142" s="289">
        <v>6</v>
      </c>
      <c r="X142" s="290">
        <v>6</v>
      </c>
      <c r="Y142" s="289">
        <v>4</v>
      </c>
      <c r="Z142" s="291">
        <v>4</v>
      </c>
      <c r="AA142" s="292"/>
      <c r="AB142" s="293"/>
      <c r="AC142" s="293"/>
      <c r="AD142" s="293"/>
      <c r="AE142" s="293"/>
      <c r="AF142" s="293"/>
      <c r="AG142" s="293"/>
      <c r="AH142" s="293"/>
      <c r="AI142" s="293"/>
      <c r="AJ142" s="293"/>
      <c r="AK142" s="293"/>
      <c r="AL142" s="293"/>
      <c r="AM142" s="293"/>
      <c r="AN142" s="293"/>
      <c r="AO142" s="293"/>
      <c r="AP142" s="293"/>
      <c r="AQ142" s="293"/>
      <c r="AR142" s="293"/>
      <c r="AS142" s="293"/>
      <c r="AT142" s="293"/>
      <c r="AU142" s="293"/>
      <c r="AV142" s="293"/>
      <c r="AW142" s="293"/>
      <c r="AX142" s="293"/>
      <c r="AY142" s="293"/>
      <c r="AZ142" s="293"/>
      <c r="BA142" s="293"/>
      <c r="BB142" s="293"/>
      <c r="BC142" s="294"/>
      <c r="BD142" s="295" t="s">
        <v>832</v>
      </c>
      <c r="BS142" s="86" t="s">
        <v>333</v>
      </c>
      <c r="BT142" s="86" t="s">
        <v>334</v>
      </c>
      <c r="BU142" s="87" t="s">
        <v>964</v>
      </c>
      <c r="BV142" s="84" t="s">
        <v>962</v>
      </c>
      <c r="DH142" s="7" t="s">
        <v>969</v>
      </c>
      <c r="DI142" s="7" t="s">
        <v>300</v>
      </c>
      <c r="DJ142" s="7" t="s">
        <v>359</v>
      </c>
      <c r="DK142" s="7" t="s">
        <v>360</v>
      </c>
      <c r="DL142" s="7" t="s">
        <v>358</v>
      </c>
      <c r="DQ142" s="7" t="s">
        <v>964</v>
      </c>
      <c r="DR142" s="7" t="s">
        <v>962</v>
      </c>
      <c r="EL142" s="822" t="s">
        <v>968</v>
      </c>
      <c r="EM142" s="312" t="s">
        <v>966</v>
      </c>
      <c r="EN142" s="268" t="s">
        <v>967</v>
      </c>
      <c r="EO142" s="268">
        <v>10</v>
      </c>
      <c r="EP142" s="268">
        <v>20</v>
      </c>
      <c r="EQ142" s="269">
        <v>6</v>
      </c>
      <c r="ER142" s="269">
        <v>6</v>
      </c>
      <c r="ES142" s="269">
        <v>4</v>
      </c>
      <c r="ET142" s="820">
        <v>4</v>
      </c>
    </row>
    <row r="143" spans="1:150" ht="39" customHeight="1" thickBot="1" x14ac:dyDescent="0.25">
      <c r="A143" s="271" t="s">
        <v>76</v>
      </c>
      <c r="B143" s="424" t="s">
        <v>77</v>
      </c>
      <c r="C143" s="425" t="s">
        <v>826</v>
      </c>
      <c r="D143" s="632"/>
      <c r="E143" s="23" t="s">
        <v>718</v>
      </c>
      <c r="F143" s="23" t="str">
        <f t="shared" si="100"/>
        <v>E2.P_F</v>
      </c>
      <c r="G143" s="405" t="s">
        <v>239</v>
      </c>
      <c r="H143" s="448" t="s">
        <v>360</v>
      </c>
      <c r="I143" s="458"/>
      <c r="J143" s="459" t="s">
        <v>61</v>
      </c>
      <c r="K143" s="460" t="str">
        <f t="shared" si="101"/>
        <v>E2.P_F.MR1</v>
      </c>
      <c r="L143" s="420" t="s">
        <v>334</v>
      </c>
      <c r="M143" s="421" t="s">
        <v>953</v>
      </c>
      <c r="N143" s="383">
        <v>25</v>
      </c>
      <c r="O143" s="422">
        <v>90</v>
      </c>
      <c r="P143" s="385" t="s">
        <v>122</v>
      </c>
      <c r="Q143" s="386" t="str">
        <f t="shared" si="102"/>
        <v>E2.P_F.MR1-MP05-1</v>
      </c>
      <c r="R143" s="471" t="s">
        <v>970</v>
      </c>
      <c r="S143" s="331" t="s">
        <v>971</v>
      </c>
      <c r="T143" s="555">
        <v>0.15</v>
      </c>
      <c r="U143" s="556">
        <v>0.65</v>
      </c>
      <c r="V143" s="555" t="s">
        <v>67</v>
      </c>
      <c r="W143" s="347">
        <v>0</v>
      </c>
      <c r="X143" s="616">
        <v>0.3</v>
      </c>
      <c r="Y143" s="397">
        <v>0.3</v>
      </c>
      <c r="Z143" s="391">
        <v>0.05</v>
      </c>
      <c r="AA143" s="318"/>
      <c r="AB143" s="319"/>
      <c r="AC143" s="319"/>
      <c r="AD143" s="319"/>
      <c r="AE143" s="319"/>
      <c r="AF143" s="319"/>
      <c r="AG143" s="319"/>
      <c r="AH143" s="319"/>
      <c r="AI143" s="319"/>
      <c r="AJ143" s="319"/>
      <c r="AK143" s="319"/>
      <c r="AL143" s="319"/>
      <c r="AM143" s="319"/>
      <c r="AN143" s="319"/>
      <c r="AO143" s="319"/>
      <c r="AP143" s="319"/>
      <c r="AQ143" s="319"/>
      <c r="AR143" s="319"/>
      <c r="AS143" s="319"/>
      <c r="AT143" s="319"/>
      <c r="AU143" s="319"/>
      <c r="AV143" s="319"/>
      <c r="AW143" s="319"/>
      <c r="AX143" s="319"/>
      <c r="AY143" s="319"/>
      <c r="AZ143" s="319"/>
      <c r="BA143" s="319"/>
      <c r="BB143" s="319"/>
      <c r="BC143" s="320"/>
      <c r="BD143" s="295" t="s">
        <v>832</v>
      </c>
      <c r="BS143" s="86" t="s">
        <v>333</v>
      </c>
      <c r="BT143" s="86" t="s">
        <v>334</v>
      </c>
      <c r="BU143" s="87" t="s">
        <v>968</v>
      </c>
      <c r="BV143" s="84" t="s">
        <v>966</v>
      </c>
      <c r="DH143" s="7" t="s">
        <v>973</v>
      </c>
      <c r="DI143" s="7" t="s">
        <v>300</v>
      </c>
      <c r="DJ143" s="7" t="s">
        <v>359</v>
      </c>
      <c r="DK143" s="7" t="s">
        <v>360</v>
      </c>
      <c r="DL143" s="7" t="s">
        <v>358</v>
      </c>
      <c r="DQ143" s="7" t="s">
        <v>968</v>
      </c>
      <c r="DR143" s="7" t="s">
        <v>966</v>
      </c>
      <c r="EL143" s="822" t="s">
        <v>972</v>
      </c>
      <c r="EM143" s="312" t="s">
        <v>970</v>
      </c>
      <c r="EN143" s="268" t="s">
        <v>971</v>
      </c>
      <c r="EO143" s="269">
        <v>15</v>
      </c>
      <c r="EP143" s="269">
        <v>65</v>
      </c>
      <c r="EQ143" s="269">
        <v>0</v>
      </c>
      <c r="ER143" s="270">
        <v>30</v>
      </c>
      <c r="ES143" s="270">
        <v>30</v>
      </c>
      <c r="ET143" s="819">
        <v>5</v>
      </c>
    </row>
    <row r="144" spans="1:150" ht="90" customHeight="1" x14ac:dyDescent="0.2">
      <c r="A144" s="271" t="s">
        <v>76</v>
      </c>
      <c r="B144" s="424" t="s">
        <v>77</v>
      </c>
      <c r="C144" s="425" t="s">
        <v>826</v>
      </c>
      <c r="D144" s="632"/>
      <c r="E144" s="23" t="s">
        <v>718</v>
      </c>
      <c r="F144" s="23" t="str">
        <f t="shared" si="100"/>
        <v>E2.P_F</v>
      </c>
      <c r="G144" s="405" t="s">
        <v>239</v>
      </c>
      <c r="H144" s="448" t="s">
        <v>360</v>
      </c>
      <c r="I144" s="449" t="s">
        <v>974</v>
      </c>
      <c r="J144" s="450" t="s">
        <v>167</v>
      </c>
      <c r="K144" s="451" t="str">
        <f t="shared" si="101"/>
        <v>E2.P_F.MR2</v>
      </c>
      <c r="L144" s="355" t="s">
        <v>345</v>
      </c>
      <c r="M144" s="356" t="s">
        <v>975</v>
      </c>
      <c r="N144" s="357">
        <v>18152</v>
      </c>
      <c r="O144" s="241">
        <v>40000</v>
      </c>
      <c r="P144" s="359" t="s">
        <v>64</v>
      </c>
      <c r="Q144" s="360" t="str">
        <f t="shared" si="102"/>
        <v>E2.P_F.MR2-MP01-1</v>
      </c>
      <c r="R144" s="412" t="s">
        <v>976</v>
      </c>
      <c r="S144" s="362" t="s">
        <v>977</v>
      </c>
      <c r="T144" s="503">
        <v>0</v>
      </c>
      <c r="U144" s="504">
        <v>1</v>
      </c>
      <c r="V144" s="503" t="s">
        <v>67</v>
      </c>
      <c r="W144" s="557">
        <v>0.25</v>
      </c>
      <c r="X144" s="558">
        <v>0.35</v>
      </c>
      <c r="Y144" s="557">
        <v>0.25</v>
      </c>
      <c r="Z144" s="559">
        <v>0.15</v>
      </c>
      <c r="AA144" s="377"/>
      <c r="AB144" s="378"/>
      <c r="AC144" s="378"/>
      <c r="AD144" s="378"/>
      <c r="AE144" s="378"/>
      <c r="AF144" s="378"/>
      <c r="AG144" s="378"/>
      <c r="AH144" s="378"/>
      <c r="AI144" s="378"/>
      <c r="AJ144" s="378"/>
      <c r="AK144" s="378"/>
      <c r="AL144" s="378"/>
      <c r="AM144" s="378"/>
      <c r="AN144" s="378"/>
      <c r="AO144" s="378"/>
      <c r="AP144" s="378"/>
      <c r="AQ144" s="378"/>
      <c r="AR144" s="378"/>
      <c r="AS144" s="378"/>
      <c r="AT144" s="378"/>
      <c r="AU144" s="378"/>
      <c r="AV144" s="378"/>
      <c r="AW144" s="378"/>
      <c r="AX144" s="378"/>
      <c r="AY144" s="378"/>
      <c r="AZ144" s="378"/>
      <c r="BA144" s="378"/>
      <c r="BB144" s="378"/>
      <c r="BC144" s="379"/>
      <c r="BD144" s="295" t="s">
        <v>832</v>
      </c>
      <c r="BS144" s="86" t="s">
        <v>333</v>
      </c>
      <c r="BT144" s="86" t="s">
        <v>334</v>
      </c>
      <c r="BU144" s="87" t="s">
        <v>972</v>
      </c>
      <c r="BV144" s="84" t="s">
        <v>970</v>
      </c>
      <c r="DH144" s="7" t="s">
        <v>979</v>
      </c>
      <c r="DI144" s="7" t="s">
        <v>300</v>
      </c>
      <c r="DJ144" s="7" t="s">
        <v>359</v>
      </c>
      <c r="DK144" s="7" t="s">
        <v>360</v>
      </c>
      <c r="DL144" s="7" t="s">
        <v>358</v>
      </c>
      <c r="DQ144" s="7" t="s">
        <v>972</v>
      </c>
      <c r="DR144" s="7" t="s">
        <v>970</v>
      </c>
      <c r="EL144" s="822" t="s">
        <v>978</v>
      </c>
      <c r="EM144" s="312" t="s">
        <v>976</v>
      </c>
      <c r="EN144" s="268" t="s">
        <v>977</v>
      </c>
      <c r="EO144" s="380">
        <v>0</v>
      </c>
      <c r="EP144" s="380">
        <v>1</v>
      </c>
      <c r="EQ144" s="323">
        <v>0.25</v>
      </c>
      <c r="ER144" s="810">
        <v>0</v>
      </c>
      <c r="ES144" s="810">
        <v>0.35</v>
      </c>
      <c r="ET144" s="821">
        <v>0.4</v>
      </c>
    </row>
    <row r="145" spans="1:150" ht="44.25" customHeight="1" x14ac:dyDescent="0.2">
      <c r="A145" s="271" t="s">
        <v>76</v>
      </c>
      <c r="B145" s="424" t="s">
        <v>77</v>
      </c>
      <c r="C145" s="425" t="s">
        <v>826</v>
      </c>
      <c r="D145" s="632"/>
      <c r="E145" s="23" t="s">
        <v>718</v>
      </c>
      <c r="F145" s="23" t="str">
        <f t="shared" si="100"/>
        <v>E2.P_F</v>
      </c>
      <c r="G145" s="405" t="s">
        <v>239</v>
      </c>
      <c r="H145" s="448" t="s">
        <v>360</v>
      </c>
      <c r="I145" s="452"/>
      <c r="J145" s="453" t="s">
        <v>167</v>
      </c>
      <c r="K145" s="368" t="str">
        <f t="shared" si="101"/>
        <v>E2.P_F.MR2</v>
      </c>
      <c r="L145" s="404" t="s">
        <v>345</v>
      </c>
      <c r="M145" s="405" t="s">
        <v>975</v>
      </c>
      <c r="N145" s="369">
        <v>18152</v>
      </c>
      <c r="O145" s="282">
        <v>40000</v>
      </c>
      <c r="P145" s="371" t="s">
        <v>87</v>
      </c>
      <c r="Q145" s="372" t="str">
        <f t="shared" si="102"/>
        <v>E2.P_F.MR2-MP02-1</v>
      </c>
      <c r="R145" s="416" t="s">
        <v>980</v>
      </c>
      <c r="S145" s="308" t="s">
        <v>981</v>
      </c>
      <c r="T145" s="375">
        <v>0</v>
      </c>
      <c r="U145" s="376">
        <v>4</v>
      </c>
      <c r="V145" s="375" t="s">
        <v>67</v>
      </c>
      <c r="W145" s="289">
        <v>1</v>
      </c>
      <c r="X145" s="290">
        <v>1</v>
      </c>
      <c r="Y145" s="289">
        <v>1</v>
      </c>
      <c r="Z145" s="291">
        <v>1</v>
      </c>
      <c r="AA145" s="377"/>
      <c r="AB145" s="378"/>
      <c r="AC145" s="378"/>
      <c r="AD145" s="378"/>
      <c r="AE145" s="378"/>
      <c r="AF145" s="378"/>
      <c r="AG145" s="378"/>
      <c r="AH145" s="378"/>
      <c r="AI145" s="378"/>
      <c r="AJ145" s="378"/>
      <c r="AK145" s="378"/>
      <c r="AL145" s="378"/>
      <c r="AM145" s="378"/>
      <c r="AN145" s="378"/>
      <c r="AO145" s="378"/>
      <c r="AP145" s="378"/>
      <c r="AQ145" s="378"/>
      <c r="AR145" s="378"/>
      <c r="AS145" s="378"/>
      <c r="AT145" s="378"/>
      <c r="AU145" s="378"/>
      <c r="AV145" s="378"/>
      <c r="AW145" s="378"/>
      <c r="AX145" s="378"/>
      <c r="AY145" s="378"/>
      <c r="AZ145" s="378"/>
      <c r="BA145" s="378"/>
      <c r="BB145" s="378"/>
      <c r="BC145" s="379"/>
      <c r="BD145" s="295" t="s">
        <v>832</v>
      </c>
      <c r="BS145" s="84" t="s">
        <v>344</v>
      </c>
      <c r="BT145" s="84" t="s">
        <v>345</v>
      </c>
      <c r="BU145" s="87" t="s">
        <v>978</v>
      </c>
      <c r="BV145" s="84" t="s">
        <v>976</v>
      </c>
      <c r="DH145" s="7" t="s">
        <v>983</v>
      </c>
      <c r="DI145" s="7" t="s">
        <v>300</v>
      </c>
      <c r="DJ145" s="7" t="s">
        <v>359</v>
      </c>
      <c r="DK145" s="7" t="s">
        <v>360</v>
      </c>
      <c r="DL145" s="7" t="s">
        <v>369</v>
      </c>
      <c r="DQ145" s="7" t="s">
        <v>978</v>
      </c>
      <c r="DR145" s="7" t="s">
        <v>976</v>
      </c>
      <c r="EL145" s="822" t="s">
        <v>982</v>
      </c>
      <c r="EM145" s="312" t="s">
        <v>980</v>
      </c>
      <c r="EN145" s="268" t="s">
        <v>981</v>
      </c>
      <c r="EO145" s="380">
        <v>0</v>
      </c>
      <c r="EP145" s="380">
        <v>4</v>
      </c>
      <c r="EQ145" s="269">
        <v>1</v>
      </c>
      <c r="ER145" s="269">
        <v>1</v>
      </c>
      <c r="ES145" s="269">
        <v>1</v>
      </c>
      <c r="ET145" s="820">
        <v>1</v>
      </c>
    </row>
    <row r="146" spans="1:150" ht="41.25" customHeight="1" x14ac:dyDescent="0.2">
      <c r="A146" s="271" t="s">
        <v>76</v>
      </c>
      <c r="B146" s="424" t="s">
        <v>77</v>
      </c>
      <c r="C146" s="425" t="s">
        <v>826</v>
      </c>
      <c r="D146" s="632"/>
      <c r="E146" s="23" t="s">
        <v>718</v>
      </c>
      <c r="F146" s="23" t="str">
        <f t="shared" si="100"/>
        <v>E2.P_F</v>
      </c>
      <c r="G146" s="405" t="s">
        <v>239</v>
      </c>
      <c r="H146" s="448" t="s">
        <v>360</v>
      </c>
      <c r="I146" s="452"/>
      <c r="J146" s="453" t="s">
        <v>167</v>
      </c>
      <c r="K146" s="368" t="str">
        <f t="shared" si="101"/>
        <v>E2.P_F.MR2</v>
      </c>
      <c r="L146" s="404" t="s">
        <v>345</v>
      </c>
      <c r="M146" s="405" t="s">
        <v>975</v>
      </c>
      <c r="N146" s="369">
        <v>18152</v>
      </c>
      <c r="O146" s="282">
        <v>40000</v>
      </c>
      <c r="P146" s="371" t="s">
        <v>99</v>
      </c>
      <c r="Q146" s="372" t="str">
        <f t="shared" si="102"/>
        <v>E2.P_F.MR2-MP03-1</v>
      </c>
      <c r="R146" s="416" t="s">
        <v>984</v>
      </c>
      <c r="S146" s="308" t="s">
        <v>985</v>
      </c>
      <c r="T146" s="375">
        <v>1</v>
      </c>
      <c r="U146" s="376">
        <v>3</v>
      </c>
      <c r="V146" s="375" t="s">
        <v>67</v>
      </c>
      <c r="W146" s="289">
        <v>0</v>
      </c>
      <c r="X146" s="290">
        <v>1</v>
      </c>
      <c r="Y146" s="289">
        <v>1</v>
      </c>
      <c r="Z146" s="291">
        <v>1</v>
      </c>
      <c r="AA146" s="377"/>
      <c r="AB146" s="378"/>
      <c r="AC146" s="378"/>
      <c r="AD146" s="378"/>
      <c r="AE146" s="378"/>
      <c r="AF146" s="378"/>
      <c r="AG146" s="378"/>
      <c r="AH146" s="378"/>
      <c r="AI146" s="378"/>
      <c r="AJ146" s="378"/>
      <c r="AK146" s="378"/>
      <c r="AL146" s="378"/>
      <c r="AM146" s="378"/>
      <c r="AN146" s="378"/>
      <c r="AO146" s="378"/>
      <c r="AP146" s="378"/>
      <c r="AQ146" s="378"/>
      <c r="AR146" s="378"/>
      <c r="AS146" s="378"/>
      <c r="AT146" s="378"/>
      <c r="AU146" s="378"/>
      <c r="AV146" s="378"/>
      <c r="AW146" s="378"/>
      <c r="AX146" s="378"/>
      <c r="AY146" s="378"/>
      <c r="AZ146" s="378"/>
      <c r="BA146" s="378"/>
      <c r="BB146" s="378"/>
      <c r="BC146" s="379"/>
      <c r="BD146" s="295" t="s">
        <v>832</v>
      </c>
      <c r="BS146" s="86" t="s">
        <v>344</v>
      </c>
      <c r="BT146" s="86" t="s">
        <v>345</v>
      </c>
      <c r="BU146" s="87" t="s">
        <v>982</v>
      </c>
      <c r="BV146" s="84" t="s">
        <v>980</v>
      </c>
      <c r="DH146" s="7" t="s">
        <v>987</v>
      </c>
      <c r="DI146" s="7" t="s">
        <v>300</v>
      </c>
      <c r="DJ146" s="7" t="s">
        <v>359</v>
      </c>
      <c r="DK146" s="7" t="s">
        <v>360</v>
      </c>
      <c r="DL146" s="7" t="s">
        <v>369</v>
      </c>
      <c r="DQ146" s="7" t="s">
        <v>982</v>
      </c>
      <c r="DR146" s="7" t="s">
        <v>980</v>
      </c>
      <c r="EL146" s="822" t="s">
        <v>986</v>
      </c>
      <c r="EM146" s="312" t="s">
        <v>984</v>
      </c>
      <c r="EN146" s="268" t="s">
        <v>985</v>
      </c>
      <c r="EO146" s="380">
        <v>1</v>
      </c>
      <c r="EP146" s="380">
        <v>3</v>
      </c>
      <c r="EQ146" s="269">
        <v>1</v>
      </c>
      <c r="ER146" s="269">
        <v>1</v>
      </c>
      <c r="ES146" s="269">
        <v>1</v>
      </c>
      <c r="ET146" s="820">
        <v>0</v>
      </c>
    </row>
    <row r="147" spans="1:150" ht="51.75" customHeight="1" thickBot="1" x14ac:dyDescent="0.25">
      <c r="A147" s="271" t="s">
        <v>76</v>
      </c>
      <c r="B147" s="592" t="s">
        <v>77</v>
      </c>
      <c r="C147" s="593" t="s">
        <v>826</v>
      </c>
      <c r="D147" s="633"/>
      <c r="E147" s="24" t="s">
        <v>718</v>
      </c>
      <c r="F147" s="24" t="str">
        <f t="shared" si="100"/>
        <v>E2.P_F</v>
      </c>
      <c r="G147" s="421" t="s">
        <v>239</v>
      </c>
      <c r="H147" s="560" t="s">
        <v>360</v>
      </c>
      <c r="I147" s="458"/>
      <c r="J147" s="453" t="s">
        <v>167</v>
      </c>
      <c r="K147" s="368" t="str">
        <f t="shared" si="101"/>
        <v>E2.P_F.MR2</v>
      </c>
      <c r="L147" s="404" t="s">
        <v>345</v>
      </c>
      <c r="M147" s="405" t="s">
        <v>975</v>
      </c>
      <c r="N147" s="383">
        <v>18152</v>
      </c>
      <c r="O147" s="422">
        <v>40000</v>
      </c>
      <c r="P147" s="385" t="s">
        <v>112</v>
      </c>
      <c r="Q147" s="386" t="str">
        <f t="shared" si="102"/>
        <v>E2.P_F.MR2-MP04-1</v>
      </c>
      <c r="R147" s="423" t="s">
        <v>988</v>
      </c>
      <c r="S147" s="344" t="s">
        <v>989</v>
      </c>
      <c r="T147" s="387">
        <v>0</v>
      </c>
      <c r="U147" s="388">
        <v>1</v>
      </c>
      <c r="V147" s="387" t="s">
        <v>67</v>
      </c>
      <c r="W147" s="397">
        <v>0.2</v>
      </c>
      <c r="X147" s="616">
        <v>0.2</v>
      </c>
      <c r="Y147" s="397">
        <v>0.3</v>
      </c>
      <c r="Z147" s="398">
        <v>0.3</v>
      </c>
      <c r="AA147" s="634"/>
      <c r="AB147" s="635"/>
      <c r="AC147" s="635"/>
      <c r="AD147" s="635"/>
      <c r="AE147" s="635"/>
      <c r="AF147" s="635"/>
      <c r="AG147" s="635"/>
      <c r="AH147" s="635"/>
      <c r="AI147" s="635"/>
      <c r="AJ147" s="635"/>
      <c r="AK147" s="635"/>
      <c r="AL147" s="635"/>
      <c r="AM147" s="635"/>
      <c r="AN147" s="635"/>
      <c r="AO147" s="635"/>
      <c r="AP147" s="635"/>
      <c r="AQ147" s="635"/>
      <c r="AR147" s="635"/>
      <c r="AS147" s="635"/>
      <c r="AT147" s="635"/>
      <c r="AU147" s="635"/>
      <c r="AV147" s="635"/>
      <c r="AW147" s="635"/>
      <c r="AX147" s="635"/>
      <c r="AY147" s="635"/>
      <c r="AZ147" s="635"/>
      <c r="BA147" s="635"/>
      <c r="BB147" s="635"/>
      <c r="BC147" s="636"/>
      <c r="BD147" s="295" t="s">
        <v>832</v>
      </c>
      <c r="BS147" s="86" t="s">
        <v>344</v>
      </c>
      <c r="BT147" s="86" t="s">
        <v>345</v>
      </c>
      <c r="BU147" s="87" t="s">
        <v>986</v>
      </c>
      <c r="BV147" s="84" t="s">
        <v>984</v>
      </c>
      <c r="DH147" s="7" t="s">
        <v>991</v>
      </c>
      <c r="DI147" s="7" t="s">
        <v>300</v>
      </c>
      <c r="DJ147" s="7" t="s">
        <v>359</v>
      </c>
      <c r="DK147" s="7" t="s">
        <v>360</v>
      </c>
      <c r="DL147" s="7" t="s">
        <v>369</v>
      </c>
      <c r="DQ147" s="7" t="s">
        <v>986</v>
      </c>
      <c r="DR147" s="7" t="s">
        <v>984</v>
      </c>
      <c r="EL147" s="822" t="s">
        <v>990</v>
      </c>
      <c r="EM147" s="312" t="s">
        <v>988</v>
      </c>
      <c r="EN147" s="268" t="s">
        <v>989</v>
      </c>
      <c r="EO147" s="380">
        <v>0</v>
      </c>
      <c r="EP147" s="380">
        <v>1</v>
      </c>
      <c r="EQ147" s="270">
        <v>0.2</v>
      </c>
      <c r="ER147" s="270">
        <v>0.2</v>
      </c>
      <c r="ES147" s="270">
        <v>0.3</v>
      </c>
      <c r="ET147" s="823">
        <v>0.3</v>
      </c>
    </row>
    <row r="148" spans="1:150" ht="107.25" customHeight="1" x14ac:dyDescent="0.2">
      <c r="A148" s="229" t="s">
        <v>90</v>
      </c>
      <c r="B148" s="598" t="s">
        <v>91</v>
      </c>
      <c r="C148" s="599" t="s">
        <v>992</v>
      </c>
      <c r="D148" s="426" t="s">
        <v>993</v>
      </c>
      <c r="E148" s="3" t="s">
        <v>57</v>
      </c>
      <c r="F148" s="637" t="str">
        <f t="shared" si="100"/>
        <v>E3.P_A</v>
      </c>
      <c r="G148" s="474" t="s">
        <v>250</v>
      </c>
      <c r="H148" s="356" t="s">
        <v>386</v>
      </c>
      <c r="I148" s="399" t="s">
        <v>994</v>
      </c>
      <c r="J148" s="430" t="s">
        <v>61</v>
      </c>
      <c r="K148" s="393" t="str">
        <f t="shared" si="101"/>
        <v>E3.P_A.MR1</v>
      </c>
      <c r="L148" s="355" t="s">
        <v>356</v>
      </c>
      <c r="M148" s="356" t="s">
        <v>995</v>
      </c>
      <c r="N148" s="475">
        <v>87</v>
      </c>
      <c r="O148" s="475">
        <v>114</v>
      </c>
      <c r="P148" s="638" t="s">
        <v>64</v>
      </c>
      <c r="Q148" s="639" t="str">
        <f t="shared" si="102"/>
        <v>E3.P_A.MR1-MP01-1</v>
      </c>
      <c r="R148" s="501" t="s">
        <v>996</v>
      </c>
      <c r="S148" s="640" t="s">
        <v>997</v>
      </c>
      <c r="T148" s="363">
        <v>12</v>
      </c>
      <c r="U148" s="364">
        <v>17</v>
      </c>
      <c r="V148" s="363" t="s">
        <v>67</v>
      </c>
      <c r="W148" s="249">
        <v>0</v>
      </c>
      <c r="X148" s="365">
        <v>3</v>
      </c>
      <c r="Y148" s="249">
        <v>2</v>
      </c>
      <c r="Z148" s="366">
        <v>0</v>
      </c>
      <c r="AA148" s="253">
        <f>5200000+35086911+488195319+197696328+2027636000+1000000000+500000000+200000000+694038535+41241099+2596388435+3746307390+955074829+388313391</f>
        <v>12875178237</v>
      </c>
      <c r="AB148" s="254">
        <v>0</v>
      </c>
      <c r="AC148" s="254">
        <f>1838296900-1000000000</f>
        <v>838296900</v>
      </c>
      <c r="AD148" s="254">
        <v>0</v>
      </c>
      <c r="AE148" s="254">
        <v>0</v>
      </c>
      <c r="AF148" s="254">
        <f>757742708+378871354+76097685+589045869+300520000+1010857538-894941217</f>
        <v>2218193937</v>
      </c>
      <c r="AG148" s="254">
        <f>SUM(AA148:AF148)</f>
        <v>15931669074</v>
      </c>
      <c r="AH148" s="254">
        <f>AA148*1.035-173090969</f>
        <v>13152718506.294998</v>
      </c>
      <c r="AI148" s="254">
        <v>215131029</v>
      </c>
      <c r="AJ148" s="254">
        <f>521638097+2620208292-1035000000</f>
        <v>2106846389</v>
      </c>
      <c r="AK148" s="254"/>
      <c r="AL148" s="254">
        <f t="shared" ref="AL148" si="111">AE148*1.035</f>
        <v>0</v>
      </c>
      <c r="AM148" s="254">
        <f>AF148*1.035-450649552</f>
        <v>1845181172.7949996</v>
      </c>
      <c r="AN148" s="254">
        <f>SUM(AH148:AM148)</f>
        <v>17319877097.089996</v>
      </c>
      <c r="AO148" s="254">
        <f>AH148*1.035-87570968+2500000000</f>
        <v>16025492686.015322</v>
      </c>
      <c r="AP148" s="254">
        <f>AI148*1.035-222660000</f>
        <v>615.01499998569489</v>
      </c>
      <c r="AQ148" s="254">
        <v>33296026</v>
      </c>
      <c r="AR148" s="254">
        <f t="shared" ref="AR148:AS148" si="112">AK148*1.035</f>
        <v>0</v>
      </c>
      <c r="AS148" s="254">
        <f t="shared" si="112"/>
        <v>0</v>
      </c>
      <c r="AT148" s="254">
        <f>AM148*1.035-168674411</f>
        <v>1741088102.8428245</v>
      </c>
      <c r="AU148" s="254">
        <f>SUM(AO148:AT148)</f>
        <v>17799877429.873146</v>
      </c>
      <c r="AV148" s="254">
        <f>AO148*1.035-721010969</f>
        <v>15865373961.025856</v>
      </c>
      <c r="AW148" s="254">
        <f>AP148*1.035-1</f>
        <v>635.54052498519411</v>
      </c>
      <c r="AX148" s="254">
        <f>4755371570+3782457543-1108717875</f>
        <v>7429111238</v>
      </c>
      <c r="AY148" s="254">
        <f t="shared" ref="AY148:AZ148" si="113">AR148*1.035</f>
        <v>0</v>
      </c>
      <c r="AZ148" s="254">
        <f t="shared" si="113"/>
        <v>0</v>
      </c>
      <c r="BA148" s="254">
        <f>AT148*1.035+702002694</f>
        <v>2504028880.4423232</v>
      </c>
      <c r="BB148" s="254">
        <f>SUM(AV148:BA148)</f>
        <v>25798514715.008705</v>
      </c>
      <c r="BC148" s="641">
        <f t="shared" ref="BC148" si="114">+BB148+AU148+AN148+AG148</f>
        <v>76849938315.971848</v>
      </c>
      <c r="BD148" s="295" t="s">
        <v>998</v>
      </c>
      <c r="BS148" s="86" t="s">
        <v>344</v>
      </c>
      <c r="BT148" s="86" t="s">
        <v>345</v>
      </c>
      <c r="BU148" s="87" t="s">
        <v>990</v>
      </c>
      <c r="BV148" s="84" t="s">
        <v>988</v>
      </c>
      <c r="DH148" s="7" t="s">
        <v>1000</v>
      </c>
      <c r="DI148" s="7" t="s">
        <v>300</v>
      </c>
      <c r="DJ148" s="7" t="s">
        <v>359</v>
      </c>
      <c r="DK148" s="7" t="s">
        <v>360</v>
      </c>
      <c r="DL148" s="7" t="s">
        <v>369</v>
      </c>
      <c r="DQ148" s="7" t="s">
        <v>990</v>
      </c>
      <c r="DR148" s="7" t="s">
        <v>988</v>
      </c>
      <c r="EL148" s="828" t="s">
        <v>999</v>
      </c>
      <c r="EM148" s="312" t="s">
        <v>996</v>
      </c>
      <c r="EN148" s="268" t="s">
        <v>997</v>
      </c>
      <c r="EO148" s="804">
        <v>12</v>
      </c>
      <c r="EP148" s="804">
        <v>17</v>
      </c>
      <c r="EQ148" s="803">
        <v>0</v>
      </c>
      <c r="ER148" s="803">
        <v>3</v>
      </c>
      <c r="ES148" s="803">
        <v>2</v>
      </c>
      <c r="ET148" s="830">
        <v>0</v>
      </c>
    </row>
    <row r="149" spans="1:150" ht="57.75" customHeight="1" x14ac:dyDescent="0.2">
      <c r="A149" s="271" t="s">
        <v>90</v>
      </c>
      <c r="B149" s="424" t="s">
        <v>91</v>
      </c>
      <c r="C149" s="425" t="s">
        <v>992</v>
      </c>
      <c r="D149" s="425"/>
      <c r="E149" s="8" t="s">
        <v>57</v>
      </c>
      <c r="F149" s="643" t="str">
        <f t="shared" si="100"/>
        <v>E3.P_A</v>
      </c>
      <c r="G149" s="405" t="s">
        <v>250</v>
      </c>
      <c r="H149" s="644" t="s">
        <v>386</v>
      </c>
      <c r="I149" s="438"/>
      <c r="J149" s="278" t="s">
        <v>61</v>
      </c>
      <c r="K149" s="279" t="str">
        <f t="shared" si="101"/>
        <v>E3.P_A.MR1</v>
      </c>
      <c r="L149" s="404" t="s">
        <v>356</v>
      </c>
      <c r="M149" s="405" t="s">
        <v>995</v>
      </c>
      <c r="N149" s="487">
        <v>87</v>
      </c>
      <c r="O149" s="10">
        <v>114</v>
      </c>
      <c r="P149" s="476" t="s">
        <v>87</v>
      </c>
      <c r="Q149" s="488" t="str">
        <f t="shared" si="102"/>
        <v>E3.P_A.MR1-MP02-1</v>
      </c>
      <c r="R149" s="416" t="s">
        <v>1001</v>
      </c>
      <c r="S149" s="645" t="s">
        <v>1002</v>
      </c>
      <c r="T149" s="287">
        <v>0</v>
      </c>
      <c r="U149" s="288">
        <v>3</v>
      </c>
      <c r="V149" s="287" t="s">
        <v>67</v>
      </c>
      <c r="W149" s="309">
        <v>0.2</v>
      </c>
      <c r="X149" s="324">
        <v>0.8</v>
      </c>
      <c r="Y149" s="289">
        <v>1</v>
      </c>
      <c r="Z149" s="291">
        <v>1</v>
      </c>
      <c r="AA149" s="292"/>
      <c r="AB149" s="293"/>
      <c r="AC149" s="293"/>
      <c r="AD149" s="293"/>
      <c r="AE149" s="293"/>
      <c r="AF149" s="293"/>
      <c r="AG149" s="293"/>
      <c r="AH149" s="293"/>
      <c r="AI149" s="293"/>
      <c r="AJ149" s="293"/>
      <c r="AK149" s="293"/>
      <c r="AL149" s="293"/>
      <c r="AM149" s="293"/>
      <c r="AN149" s="293"/>
      <c r="AO149" s="293"/>
      <c r="AP149" s="293"/>
      <c r="AQ149" s="293"/>
      <c r="AR149" s="293"/>
      <c r="AS149" s="293"/>
      <c r="AT149" s="293"/>
      <c r="AU149" s="293"/>
      <c r="AV149" s="293"/>
      <c r="AW149" s="293"/>
      <c r="AX149" s="293"/>
      <c r="AY149" s="293"/>
      <c r="AZ149" s="293"/>
      <c r="BA149" s="293"/>
      <c r="BB149" s="293"/>
      <c r="BC149" s="294"/>
      <c r="BD149" s="295" t="s">
        <v>998</v>
      </c>
      <c r="BS149" s="84" t="s">
        <v>355</v>
      </c>
      <c r="BT149" s="84" t="s">
        <v>356</v>
      </c>
      <c r="BU149" s="88" t="s">
        <v>999</v>
      </c>
      <c r="BV149" s="84" t="s">
        <v>996</v>
      </c>
      <c r="DH149" s="7" t="s">
        <v>1004</v>
      </c>
      <c r="DI149" s="7" t="s">
        <v>384</v>
      </c>
      <c r="DJ149" s="7" t="s">
        <v>385</v>
      </c>
      <c r="DK149" s="7" t="s">
        <v>386</v>
      </c>
      <c r="DL149" s="7" t="s">
        <v>383</v>
      </c>
      <c r="DQ149" s="7" t="s">
        <v>999</v>
      </c>
      <c r="DR149" s="7" t="s">
        <v>996</v>
      </c>
      <c r="EL149" s="828" t="s">
        <v>1003</v>
      </c>
      <c r="EM149" s="312" t="s">
        <v>1001</v>
      </c>
      <c r="EN149" s="268" t="s">
        <v>1002</v>
      </c>
      <c r="EO149" s="268">
        <v>0</v>
      </c>
      <c r="EP149" s="268">
        <v>3</v>
      </c>
      <c r="EQ149" s="270">
        <v>0.2</v>
      </c>
      <c r="ER149" s="833">
        <v>0.2</v>
      </c>
      <c r="ES149" s="833">
        <v>1.6</v>
      </c>
      <c r="ET149" s="820">
        <v>1</v>
      </c>
    </row>
    <row r="150" spans="1:150" ht="45.75" customHeight="1" x14ac:dyDescent="0.2">
      <c r="A150" s="271" t="s">
        <v>90</v>
      </c>
      <c r="B150" s="424" t="s">
        <v>91</v>
      </c>
      <c r="C150" s="425" t="s">
        <v>992</v>
      </c>
      <c r="D150" s="425"/>
      <c r="E150" s="8" t="s">
        <v>57</v>
      </c>
      <c r="F150" s="643" t="str">
        <f t="shared" si="100"/>
        <v>E3.P_A</v>
      </c>
      <c r="G150" s="405" t="s">
        <v>250</v>
      </c>
      <c r="H150" s="644" t="s">
        <v>386</v>
      </c>
      <c r="I150" s="438"/>
      <c r="J150" s="278" t="s">
        <v>61</v>
      </c>
      <c r="K150" s="279" t="str">
        <f t="shared" si="101"/>
        <v>E3.P_A.MR1</v>
      </c>
      <c r="L150" s="404" t="s">
        <v>356</v>
      </c>
      <c r="M150" s="405" t="s">
        <v>995</v>
      </c>
      <c r="N150" s="487">
        <v>87</v>
      </c>
      <c r="O150" s="10">
        <v>114</v>
      </c>
      <c r="P150" s="476" t="s">
        <v>99</v>
      </c>
      <c r="Q150" s="488" t="str">
        <f t="shared" si="102"/>
        <v>E3.P_A.MR1-MP03-1</v>
      </c>
      <c r="R150" s="416" t="s">
        <v>1005</v>
      </c>
      <c r="S150" s="645" t="s">
        <v>1006</v>
      </c>
      <c r="T150" s="375">
        <v>12</v>
      </c>
      <c r="U150" s="376">
        <v>12</v>
      </c>
      <c r="V150" s="375" t="s">
        <v>102</v>
      </c>
      <c r="W150" s="289">
        <v>0</v>
      </c>
      <c r="X150" s="290">
        <v>4</v>
      </c>
      <c r="Y150" s="289">
        <v>4</v>
      </c>
      <c r="Z150" s="291">
        <v>4</v>
      </c>
      <c r="AA150" s="377"/>
      <c r="AB150" s="378"/>
      <c r="AC150" s="378"/>
      <c r="AD150" s="378"/>
      <c r="AE150" s="378"/>
      <c r="AF150" s="378"/>
      <c r="AG150" s="378"/>
      <c r="AH150" s="378"/>
      <c r="AI150" s="378"/>
      <c r="AJ150" s="378"/>
      <c r="AK150" s="378"/>
      <c r="AL150" s="378"/>
      <c r="AM150" s="378"/>
      <c r="AN150" s="378"/>
      <c r="AO150" s="378"/>
      <c r="AP150" s="378"/>
      <c r="AQ150" s="378"/>
      <c r="AR150" s="378"/>
      <c r="AS150" s="378"/>
      <c r="AT150" s="378"/>
      <c r="AU150" s="378"/>
      <c r="AV150" s="378"/>
      <c r="AW150" s="378"/>
      <c r="AX150" s="378"/>
      <c r="AY150" s="378"/>
      <c r="AZ150" s="378"/>
      <c r="BA150" s="378"/>
      <c r="BB150" s="378"/>
      <c r="BC150" s="379"/>
      <c r="BD150" s="295" t="s">
        <v>998</v>
      </c>
      <c r="BS150" s="89" t="s">
        <v>355</v>
      </c>
      <c r="BT150" s="89" t="s">
        <v>356</v>
      </c>
      <c r="BU150" s="88" t="s">
        <v>1003</v>
      </c>
      <c r="BV150" s="84" t="s">
        <v>1001</v>
      </c>
      <c r="DH150" s="7" t="s">
        <v>1008</v>
      </c>
      <c r="DI150" s="7" t="s">
        <v>384</v>
      </c>
      <c r="DJ150" s="7" t="s">
        <v>385</v>
      </c>
      <c r="DK150" s="7" t="s">
        <v>386</v>
      </c>
      <c r="DL150" s="7" t="s">
        <v>383</v>
      </c>
      <c r="DQ150" s="7" t="s">
        <v>1003</v>
      </c>
      <c r="DR150" s="7" t="s">
        <v>1001</v>
      </c>
      <c r="EL150" s="828" t="s">
        <v>1007</v>
      </c>
      <c r="EM150" s="312" t="s">
        <v>1005</v>
      </c>
      <c r="EN150" s="268" t="s">
        <v>1006</v>
      </c>
      <c r="EO150" s="380">
        <v>12</v>
      </c>
      <c r="EP150" s="380">
        <v>12</v>
      </c>
      <c r="EQ150" s="269">
        <v>12</v>
      </c>
      <c r="ER150" s="834">
        <v>4</v>
      </c>
      <c r="ES150" s="834">
        <v>4</v>
      </c>
      <c r="ET150" s="835">
        <v>4</v>
      </c>
    </row>
    <row r="151" spans="1:150" ht="45" customHeight="1" x14ac:dyDescent="0.2">
      <c r="A151" s="271" t="s">
        <v>90</v>
      </c>
      <c r="B151" s="424" t="s">
        <v>91</v>
      </c>
      <c r="C151" s="425" t="s">
        <v>992</v>
      </c>
      <c r="D151" s="425"/>
      <c r="E151" s="8" t="s">
        <v>57</v>
      </c>
      <c r="F151" s="643" t="str">
        <f t="shared" si="100"/>
        <v>E3.P_A</v>
      </c>
      <c r="G151" s="405" t="s">
        <v>250</v>
      </c>
      <c r="H151" s="644" t="s">
        <v>386</v>
      </c>
      <c r="I151" s="438"/>
      <c r="J151" s="278" t="s">
        <v>61</v>
      </c>
      <c r="K151" s="279" t="str">
        <f t="shared" si="101"/>
        <v>E3.P_A.MR1</v>
      </c>
      <c r="L151" s="404" t="s">
        <v>356</v>
      </c>
      <c r="M151" s="405" t="s">
        <v>995</v>
      </c>
      <c r="N151" s="487">
        <v>87</v>
      </c>
      <c r="O151" s="10">
        <v>114</v>
      </c>
      <c r="P151" s="476" t="s">
        <v>112</v>
      </c>
      <c r="Q151" s="488" t="str">
        <f t="shared" si="102"/>
        <v>E3.P_A.MR1-MP04-1</v>
      </c>
      <c r="R151" s="416" t="s">
        <v>1009</v>
      </c>
      <c r="S151" s="645" t="s">
        <v>1010</v>
      </c>
      <c r="T151" s="375">
        <v>26</v>
      </c>
      <c r="U151" s="376">
        <v>28</v>
      </c>
      <c r="V151" s="375" t="s">
        <v>67</v>
      </c>
      <c r="W151" s="289">
        <v>0</v>
      </c>
      <c r="X151" s="290">
        <v>1</v>
      </c>
      <c r="Y151" s="289">
        <v>1</v>
      </c>
      <c r="Z151" s="291">
        <v>0</v>
      </c>
      <c r="AA151" s="377"/>
      <c r="AB151" s="378"/>
      <c r="AC151" s="378"/>
      <c r="AD151" s="378"/>
      <c r="AE151" s="378"/>
      <c r="AF151" s="378"/>
      <c r="AG151" s="378"/>
      <c r="AH151" s="378"/>
      <c r="AI151" s="378"/>
      <c r="AJ151" s="378"/>
      <c r="AK151" s="378"/>
      <c r="AL151" s="378"/>
      <c r="AM151" s="378"/>
      <c r="AN151" s="378"/>
      <c r="AO151" s="378"/>
      <c r="AP151" s="378"/>
      <c r="AQ151" s="378"/>
      <c r="AR151" s="378"/>
      <c r="AS151" s="378"/>
      <c r="AT151" s="378"/>
      <c r="AU151" s="378"/>
      <c r="AV151" s="378"/>
      <c r="AW151" s="378"/>
      <c r="AX151" s="378"/>
      <c r="AY151" s="378"/>
      <c r="AZ151" s="378"/>
      <c r="BA151" s="378"/>
      <c r="BB151" s="378"/>
      <c r="BC151" s="379"/>
      <c r="BD151" s="295" t="s">
        <v>998</v>
      </c>
      <c r="BS151" s="89" t="s">
        <v>355</v>
      </c>
      <c r="BT151" s="89" t="s">
        <v>356</v>
      </c>
      <c r="BU151" s="88" t="s">
        <v>1007</v>
      </c>
      <c r="BV151" s="84" t="s">
        <v>1005</v>
      </c>
      <c r="DH151" s="7" t="s">
        <v>1012</v>
      </c>
      <c r="DI151" s="7" t="s">
        <v>384</v>
      </c>
      <c r="DJ151" s="7" t="s">
        <v>385</v>
      </c>
      <c r="DK151" s="7" t="s">
        <v>386</v>
      </c>
      <c r="DL151" s="7" t="s">
        <v>383</v>
      </c>
      <c r="DQ151" s="7" t="s">
        <v>1007</v>
      </c>
      <c r="DR151" s="7" t="s">
        <v>1005</v>
      </c>
      <c r="EL151" s="828" t="s">
        <v>1011</v>
      </c>
      <c r="EM151" s="312" t="s">
        <v>1009</v>
      </c>
      <c r="EN151" s="268" t="s">
        <v>1010</v>
      </c>
      <c r="EO151" s="831">
        <v>26</v>
      </c>
      <c r="EP151" s="831">
        <v>28</v>
      </c>
      <c r="EQ151" s="803">
        <v>0</v>
      </c>
      <c r="ER151" s="833">
        <v>0.5</v>
      </c>
      <c r="ES151" s="833">
        <v>0.5</v>
      </c>
      <c r="ET151" s="835">
        <v>1</v>
      </c>
    </row>
    <row r="152" spans="1:150" ht="63.75" customHeight="1" x14ac:dyDescent="0.2">
      <c r="A152" s="271" t="s">
        <v>90</v>
      </c>
      <c r="B152" s="424" t="s">
        <v>91</v>
      </c>
      <c r="C152" s="425" t="s">
        <v>992</v>
      </c>
      <c r="D152" s="425"/>
      <c r="E152" s="8" t="s">
        <v>57</v>
      </c>
      <c r="F152" s="643" t="str">
        <f t="shared" si="100"/>
        <v>E3.P_A</v>
      </c>
      <c r="G152" s="405" t="s">
        <v>250</v>
      </c>
      <c r="H152" s="644" t="s">
        <v>386</v>
      </c>
      <c r="I152" s="438"/>
      <c r="J152" s="278" t="s">
        <v>61</v>
      </c>
      <c r="K152" s="279" t="str">
        <f t="shared" si="101"/>
        <v>E3.P_A.MR1</v>
      </c>
      <c r="L152" s="404" t="s">
        <v>356</v>
      </c>
      <c r="M152" s="405" t="s">
        <v>995</v>
      </c>
      <c r="N152" s="487">
        <v>87</v>
      </c>
      <c r="O152" s="10">
        <v>114</v>
      </c>
      <c r="P152" s="476" t="s">
        <v>122</v>
      </c>
      <c r="Q152" s="488" t="str">
        <f t="shared" si="102"/>
        <v>E3.P_A.MR1-MP05-1</v>
      </c>
      <c r="R152" s="416" t="s">
        <v>1013</v>
      </c>
      <c r="S152" s="645" t="s">
        <v>1014</v>
      </c>
      <c r="T152" s="375">
        <v>0</v>
      </c>
      <c r="U152" s="376">
        <v>3</v>
      </c>
      <c r="V152" s="375" t="s">
        <v>67</v>
      </c>
      <c r="W152" s="289">
        <v>0</v>
      </c>
      <c r="X152" s="290">
        <v>1</v>
      </c>
      <c r="Y152" s="289">
        <v>1</v>
      </c>
      <c r="Z152" s="291">
        <v>1</v>
      </c>
      <c r="AA152" s="377"/>
      <c r="AB152" s="378"/>
      <c r="AC152" s="378"/>
      <c r="AD152" s="378"/>
      <c r="AE152" s="378"/>
      <c r="AF152" s="378"/>
      <c r="AG152" s="378"/>
      <c r="AH152" s="378"/>
      <c r="AI152" s="378"/>
      <c r="AJ152" s="378"/>
      <c r="AK152" s="378"/>
      <c r="AL152" s="378"/>
      <c r="AM152" s="378"/>
      <c r="AN152" s="378"/>
      <c r="AO152" s="378"/>
      <c r="AP152" s="378"/>
      <c r="AQ152" s="378"/>
      <c r="AR152" s="378"/>
      <c r="AS152" s="378"/>
      <c r="AT152" s="378"/>
      <c r="AU152" s="378"/>
      <c r="AV152" s="378"/>
      <c r="AW152" s="378"/>
      <c r="AX152" s="378"/>
      <c r="AY152" s="378"/>
      <c r="AZ152" s="378"/>
      <c r="BA152" s="378"/>
      <c r="BB152" s="378"/>
      <c r="BC152" s="379"/>
      <c r="BD152" s="295" t="s">
        <v>998</v>
      </c>
      <c r="BS152" s="89" t="s">
        <v>355</v>
      </c>
      <c r="BT152" s="89" t="s">
        <v>356</v>
      </c>
      <c r="BU152" s="88" t="s">
        <v>1011</v>
      </c>
      <c r="BV152" s="84" t="s">
        <v>1009</v>
      </c>
      <c r="DH152" s="7" t="s">
        <v>1016</v>
      </c>
      <c r="DI152" s="7" t="s">
        <v>384</v>
      </c>
      <c r="DJ152" s="7" t="s">
        <v>385</v>
      </c>
      <c r="DK152" s="7" t="s">
        <v>386</v>
      </c>
      <c r="DL152" s="7" t="s">
        <v>383</v>
      </c>
      <c r="DQ152" s="7" t="s">
        <v>1011</v>
      </c>
      <c r="DR152" s="7" t="s">
        <v>1009</v>
      </c>
      <c r="EL152" s="828" t="s">
        <v>1015</v>
      </c>
      <c r="EM152" s="312" t="s">
        <v>1013</v>
      </c>
      <c r="EN152" s="268" t="s">
        <v>1014</v>
      </c>
      <c r="EO152" s="380">
        <v>0</v>
      </c>
      <c r="EP152" s="380">
        <v>3</v>
      </c>
      <c r="EQ152" s="269">
        <v>0</v>
      </c>
      <c r="ER152" s="834">
        <v>0</v>
      </c>
      <c r="ES152" s="834">
        <v>2</v>
      </c>
      <c r="ET152" s="820">
        <v>1</v>
      </c>
    </row>
    <row r="153" spans="1:150" ht="58.5" customHeight="1" x14ac:dyDescent="0.2">
      <c r="A153" s="271" t="s">
        <v>90</v>
      </c>
      <c r="B153" s="424" t="s">
        <v>91</v>
      </c>
      <c r="C153" s="425" t="s">
        <v>992</v>
      </c>
      <c r="D153" s="425"/>
      <c r="E153" s="8" t="s">
        <v>57</v>
      </c>
      <c r="F153" s="643" t="str">
        <f t="shared" si="100"/>
        <v>E3.P_A</v>
      </c>
      <c r="G153" s="405" t="s">
        <v>250</v>
      </c>
      <c r="H153" s="644" t="s">
        <v>386</v>
      </c>
      <c r="I153" s="438"/>
      <c r="J153" s="278" t="s">
        <v>61</v>
      </c>
      <c r="K153" s="279" t="str">
        <f t="shared" si="101"/>
        <v>E3.P_A.MR1</v>
      </c>
      <c r="L153" s="404" t="s">
        <v>356</v>
      </c>
      <c r="M153" s="405" t="s">
        <v>995</v>
      </c>
      <c r="N153" s="487">
        <v>87</v>
      </c>
      <c r="O153" s="10">
        <v>114</v>
      </c>
      <c r="P153" s="476" t="s">
        <v>132</v>
      </c>
      <c r="Q153" s="488" t="str">
        <f t="shared" si="102"/>
        <v>E3.P_A.MR1-MP06-1</v>
      </c>
      <c r="R153" s="416" t="s">
        <v>1017</v>
      </c>
      <c r="S153" s="645" t="s">
        <v>1018</v>
      </c>
      <c r="T153" s="375">
        <v>26</v>
      </c>
      <c r="U153" s="376">
        <v>26</v>
      </c>
      <c r="V153" s="375" t="s">
        <v>102</v>
      </c>
      <c r="W153" s="309">
        <v>0.2</v>
      </c>
      <c r="X153" s="324">
        <v>7.8</v>
      </c>
      <c r="Y153" s="289">
        <v>10</v>
      </c>
      <c r="Z153" s="291">
        <v>8</v>
      </c>
      <c r="AA153" s="377"/>
      <c r="AB153" s="378"/>
      <c r="AC153" s="378"/>
      <c r="AD153" s="378"/>
      <c r="AE153" s="378"/>
      <c r="AF153" s="378"/>
      <c r="AG153" s="378"/>
      <c r="AH153" s="378"/>
      <c r="AI153" s="378"/>
      <c r="AJ153" s="378"/>
      <c r="AK153" s="378"/>
      <c r="AL153" s="378"/>
      <c r="AM153" s="378"/>
      <c r="AN153" s="378"/>
      <c r="AO153" s="378"/>
      <c r="AP153" s="378"/>
      <c r="AQ153" s="378"/>
      <c r="AR153" s="378"/>
      <c r="AS153" s="378"/>
      <c r="AT153" s="378"/>
      <c r="AU153" s="378"/>
      <c r="AV153" s="378"/>
      <c r="AW153" s="378"/>
      <c r="AX153" s="378"/>
      <c r="AY153" s="378"/>
      <c r="AZ153" s="378"/>
      <c r="BA153" s="378"/>
      <c r="BB153" s="378"/>
      <c r="BC153" s="379"/>
      <c r="BD153" s="295" t="s">
        <v>998</v>
      </c>
      <c r="BS153" s="89" t="s">
        <v>355</v>
      </c>
      <c r="BT153" s="89" t="s">
        <v>356</v>
      </c>
      <c r="BU153" s="88" t="s">
        <v>1015</v>
      </c>
      <c r="BV153" s="84" t="s">
        <v>1013</v>
      </c>
      <c r="DH153" s="7" t="s">
        <v>1020</v>
      </c>
      <c r="DI153" s="7" t="s">
        <v>384</v>
      </c>
      <c r="DJ153" s="7" t="s">
        <v>385</v>
      </c>
      <c r="DK153" s="7" t="s">
        <v>386</v>
      </c>
      <c r="DL153" s="7" t="s">
        <v>383</v>
      </c>
      <c r="DQ153" s="7" t="s">
        <v>1015</v>
      </c>
      <c r="DR153" s="7" t="s">
        <v>1013</v>
      </c>
      <c r="EL153" s="828" t="s">
        <v>1019</v>
      </c>
      <c r="EM153" s="312" t="s">
        <v>1017</v>
      </c>
      <c r="EN153" s="268" t="s">
        <v>1018</v>
      </c>
      <c r="EO153" s="380">
        <v>26</v>
      </c>
      <c r="EP153" s="380">
        <v>26</v>
      </c>
      <c r="EQ153" s="270">
        <v>0.2</v>
      </c>
      <c r="ER153" s="270">
        <v>7.8</v>
      </c>
      <c r="ES153" s="269">
        <v>10</v>
      </c>
      <c r="ET153" s="820">
        <v>8</v>
      </c>
    </row>
    <row r="154" spans="1:150" ht="47.25" customHeight="1" x14ac:dyDescent="0.2">
      <c r="A154" s="271" t="s">
        <v>90</v>
      </c>
      <c r="B154" s="424" t="s">
        <v>91</v>
      </c>
      <c r="C154" s="425" t="s">
        <v>992</v>
      </c>
      <c r="D154" s="425"/>
      <c r="E154" s="8" t="s">
        <v>57</v>
      </c>
      <c r="F154" s="643" t="str">
        <f t="shared" si="100"/>
        <v>E3.P_A</v>
      </c>
      <c r="G154" s="405" t="s">
        <v>250</v>
      </c>
      <c r="H154" s="644" t="s">
        <v>386</v>
      </c>
      <c r="I154" s="438"/>
      <c r="J154" s="278" t="s">
        <v>61</v>
      </c>
      <c r="K154" s="279" t="str">
        <f t="shared" si="101"/>
        <v>E3.P_A.MR1</v>
      </c>
      <c r="L154" s="404" t="s">
        <v>356</v>
      </c>
      <c r="M154" s="405" t="s">
        <v>995</v>
      </c>
      <c r="N154" s="487">
        <v>87</v>
      </c>
      <c r="O154" s="10">
        <v>114</v>
      </c>
      <c r="P154" s="476" t="s">
        <v>142</v>
      </c>
      <c r="Q154" s="488" t="str">
        <f t="shared" si="102"/>
        <v>E3.P_A.MR1-MP07-1</v>
      </c>
      <c r="R154" s="416" t="s">
        <v>1021</v>
      </c>
      <c r="S154" s="645" t="s">
        <v>1010</v>
      </c>
      <c r="T154" s="646">
        <v>0.6</v>
      </c>
      <c r="U154" s="376">
        <v>1</v>
      </c>
      <c r="V154" s="375" t="s">
        <v>67</v>
      </c>
      <c r="W154" s="309">
        <v>0.5</v>
      </c>
      <c r="X154" s="324">
        <v>0.5</v>
      </c>
      <c r="Y154" s="289">
        <v>0</v>
      </c>
      <c r="Z154" s="291">
        <v>0</v>
      </c>
      <c r="AA154" s="377"/>
      <c r="AB154" s="378"/>
      <c r="AC154" s="378"/>
      <c r="AD154" s="378"/>
      <c r="AE154" s="378"/>
      <c r="AF154" s="378"/>
      <c r="AG154" s="378"/>
      <c r="AH154" s="378"/>
      <c r="AI154" s="378"/>
      <c r="AJ154" s="378"/>
      <c r="AK154" s="378"/>
      <c r="AL154" s="378"/>
      <c r="AM154" s="378"/>
      <c r="AN154" s="378"/>
      <c r="AO154" s="378"/>
      <c r="AP154" s="378"/>
      <c r="AQ154" s="378"/>
      <c r="AR154" s="378"/>
      <c r="AS154" s="378"/>
      <c r="AT154" s="378"/>
      <c r="AU154" s="378"/>
      <c r="AV154" s="378"/>
      <c r="AW154" s="378"/>
      <c r="AX154" s="378"/>
      <c r="AY154" s="378"/>
      <c r="AZ154" s="378"/>
      <c r="BA154" s="378"/>
      <c r="BB154" s="378"/>
      <c r="BC154" s="379"/>
      <c r="BD154" s="295" t="s">
        <v>998</v>
      </c>
      <c r="BS154" s="89" t="s">
        <v>355</v>
      </c>
      <c r="BT154" s="89" t="s">
        <v>356</v>
      </c>
      <c r="BU154" s="88" t="s">
        <v>1019</v>
      </c>
      <c r="BV154" s="84" t="s">
        <v>1017</v>
      </c>
      <c r="DH154" s="7" t="s">
        <v>1023</v>
      </c>
      <c r="DI154" s="7" t="s">
        <v>384</v>
      </c>
      <c r="DJ154" s="7" t="s">
        <v>385</v>
      </c>
      <c r="DK154" s="7" t="s">
        <v>386</v>
      </c>
      <c r="DL154" s="7" t="s">
        <v>383</v>
      </c>
      <c r="DQ154" s="7" t="s">
        <v>1019</v>
      </c>
      <c r="DR154" s="7" t="s">
        <v>1017</v>
      </c>
      <c r="EL154" s="828" t="s">
        <v>1022</v>
      </c>
      <c r="EM154" s="312" t="s">
        <v>1021</v>
      </c>
      <c r="EN154" s="268" t="s">
        <v>1010</v>
      </c>
      <c r="EO154" s="647">
        <v>0.6</v>
      </c>
      <c r="EP154" s="380">
        <v>1</v>
      </c>
      <c r="EQ154" s="270">
        <v>0.5</v>
      </c>
      <c r="ER154" s="833">
        <v>0.4</v>
      </c>
      <c r="ES154" s="833">
        <v>0.1</v>
      </c>
      <c r="ET154" s="820">
        <v>0</v>
      </c>
    </row>
    <row r="155" spans="1:150" ht="53.25" customHeight="1" x14ac:dyDescent="0.2">
      <c r="A155" s="271" t="s">
        <v>90</v>
      </c>
      <c r="B155" s="424" t="s">
        <v>91</v>
      </c>
      <c r="C155" s="425" t="s">
        <v>992</v>
      </c>
      <c r="D155" s="425"/>
      <c r="E155" s="8" t="s">
        <v>57</v>
      </c>
      <c r="F155" s="643" t="str">
        <f t="shared" si="100"/>
        <v>E3.P_A</v>
      </c>
      <c r="G155" s="405" t="s">
        <v>250</v>
      </c>
      <c r="H155" s="644" t="s">
        <v>386</v>
      </c>
      <c r="I155" s="438"/>
      <c r="J155" s="278" t="s">
        <v>61</v>
      </c>
      <c r="K155" s="279" t="str">
        <f t="shared" si="101"/>
        <v>E3.P_A.MR1</v>
      </c>
      <c r="L155" s="404" t="s">
        <v>356</v>
      </c>
      <c r="M155" s="405" t="s">
        <v>995</v>
      </c>
      <c r="N155" s="487">
        <v>87</v>
      </c>
      <c r="O155" s="10">
        <v>114</v>
      </c>
      <c r="P155" s="476" t="s">
        <v>156</v>
      </c>
      <c r="Q155" s="488" t="str">
        <f t="shared" si="102"/>
        <v>E3.P_A.MR1-MP08-1</v>
      </c>
      <c r="R155" s="416" t="s">
        <v>1024</v>
      </c>
      <c r="S155" s="645" t="s">
        <v>1018</v>
      </c>
      <c r="T155" s="375">
        <v>1</v>
      </c>
      <c r="U155" s="376">
        <v>1</v>
      </c>
      <c r="V155" s="375" t="s">
        <v>102</v>
      </c>
      <c r="W155" s="289">
        <v>0</v>
      </c>
      <c r="X155" s="290">
        <v>0</v>
      </c>
      <c r="Y155" s="309">
        <v>0.5</v>
      </c>
      <c r="Z155" s="310">
        <v>0.5</v>
      </c>
      <c r="AA155" s="377"/>
      <c r="AB155" s="378"/>
      <c r="AC155" s="378"/>
      <c r="AD155" s="378"/>
      <c r="AE155" s="378"/>
      <c r="AF155" s="378"/>
      <c r="AG155" s="378"/>
      <c r="AH155" s="378"/>
      <c r="AI155" s="378"/>
      <c r="AJ155" s="378"/>
      <c r="AK155" s="378"/>
      <c r="AL155" s="378"/>
      <c r="AM155" s="378"/>
      <c r="AN155" s="378"/>
      <c r="AO155" s="378"/>
      <c r="AP155" s="378"/>
      <c r="AQ155" s="378"/>
      <c r="AR155" s="378"/>
      <c r="AS155" s="378"/>
      <c r="AT155" s="378"/>
      <c r="AU155" s="378"/>
      <c r="AV155" s="378"/>
      <c r="AW155" s="378"/>
      <c r="AX155" s="378"/>
      <c r="AY155" s="378"/>
      <c r="AZ155" s="378"/>
      <c r="BA155" s="378"/>
      <c r="BB155" s="378"/>
      <c r="BC155" s="379"/>
      <c r="BD155" s="295" t="s">
        <v>998</v>
      </c>
      <c r="BS155" s="89" t="s">
        <v>355</v>
      </c>
      <c r="BT155" s="89" t="s">
        <v>356</v>
      </c>
      <c r="BU155" s="88" t="s">
        <v>1022</v>
      </c>
      <c r="BV155" s="84" t="s">
        <v>1021</v>
      </c>
      <c r="DH155" s="7" t="s">
        <v>1026</v>
      </c>
      <c r="DI155" s="7" t="s">
        <v>384</v>
      </c>
      <c r="DJ155" s="7" t="s">
        <v>385</v>
      </c>
      <c r="DK155" s="7" t="s">
        <v>386</v>
      </c>
      <c r="DL155" s="7" t="s">
        <v>383</v>
      </c>
      <c r="DQ155" s="7" t="s">
        <v>1022</v>
      </c>
      <c r="DR155" s="7" t="s">
        <v>1021</v>
      </c>
      <c r="EL155" s="828" t="s">
        <v>1025</v>
      </c>
      <c r="EM155" s="312" t="s">
        <v>1024</v>
      </c>
      <c r="EN155" s="268" t="s">
        <v>1018</v>
      </c>
      <c r="EO155" s="380">
        <v>1</v>
      </c>
      <c r="EP155" s="380">
        <v>1</v>
      </c>
      <c r="EQ155" s="269">
        <v>0</v>
      </c>
      <c r="ER155" s="834">
        <v>0</v>
      </c>
      <c r="ES155" s="833">
        <v>0.5</v>
      </c>
      <c r="ET155" s="836">
        <v>0.5</v>
      </c>
    </row>
    <row r="156" spans="1:150" ht="42" customHeight="1" x14ac:dyDescent="0.2">
      <c r="A156" s="271" t="s">
        <v>90</v>
      </c>
      <c r="B156" s="424" t="s">
        <v>91</v>
      </c>
      <c r="C156" s="425" t="s">
        <v>992</v>
      </c>
      <c r="D156" s="425"/>
      <c r="E156" s="8" t="s">
        <v>57</v>
      </c>
      <c r="F156" s="643" t="str">
        <f t="shared" si="100"/>
        <v>E3.P_A</v>
      </c>
      <c r="G156" s="405" t="s">
        <v>250</v>
      </c>
      <c r="H156" s="644" t="s">
        <v>386</v>
      </c>
      <c r="I156" s="438"/>
      <c r="J156" s="278" t="s">
        <v>61</v>
      </c>
      <c r="K156" s="279" t="str">
        <f t="shared" si="101"/>
        <v>E3.P_A.MR1</v>
      </c>
      <c r="L156" s="404" t="s">
        <v>356</v>
      </c>
      <c r="M156" s="405" t="s">
        <v>995</v>
      </c>
      <c r="N156" s="487">
        <v>87</v>
      </c>
      <c r="O156" s="10">
        <v>114</v>
      </c>
      <c r="P156" s="476" t="s">
        <v>515</v>
      </c>
      <c r="Q156" s="488" t="str">
        <f t="shared" si="102"/>
        <v>E3.P_A.MR1-MP09-1</v>
      </c>
      <c r="R156" s="416" t="s">
        <v>1027</v>
      </c>
      <c r="S156" s="645" t="s">
        <v>1010</v>
      </c>
      <c r="T156" s="375">
        <v>1</v>
      </c>
      <c r="U156" s="376">
        <v>2</v>
      </c>
      <c r="V156" s="375" t="s">
        <v>67</v>
      </c>
      <c r="W156" s="309">
        <v>0.4</v>
      </c>
      <c r="X156" s="324">
        <v>0.2</v>
      </c>
      <c r="Y156" s="309">
        <v>0.7</v>
      </c>
      <c r="Z156" s="310">
        <v>0.7</v>
      </c>
      <c r="AA156" s="377"/>
      <c r="AB156" s="378"/>
      <c r="AC156" s="378"/>
      <c r="AD156" s="378"/>
      <c r="AE156" s="378"/>
      <c r="AF156" s="378"/>
      <c r="AG156" s="378"/>
      <c r="AH156" s="378"/>
      <c r="AI156" s="378"/>
      <c r="AJ156" s="378"/>
      <c r="AK156" s="378"/>
      <c r="AL156" s="378"/>
      <c r="AM156" s="378"/>
      <c r="AN156" s="378"/>
      <c r="AO156" s="378"/>
      <c r="AP156" s="378"/>
      <c r="AQ156" s="378"/>
      <c r="AR156" s="378"/>
      <c r="AS156" s="378"/>
      <c r="AT156" s="378"/>
      <c r="AU156" s="378"/>
      <c r="AV156" s="378"/>
      <c r="AW156" s="378"/>
      <c r="AX156" s="378"/>
      <c r="AY156" s="378"/>
      <c r="AZ156" s="378"/>
      <c r="BA156" s="378"/>
      <c r="BB156" s="378"/>
      <c r="BC156" s="379"/>
      <c r="BD156" s="295" t="s">
        <v>998</v>
      </c>
      <c r="BS156" s="89" t="s">
        <v>355</v>
      </c>
      <c r="BT156" s="89" t="s">
        <v>356</v>
      </c>
      <c r="BU156" s="88" t="s">
        <v>1025</v>
      </c>
      <c r="BV156" s="84" t="s">
        <v>1024</v>
      </c>
      <c r="DH156" s="7" t="s">
        <v>1029</v>
      </c>
      <c r="DI156" s="7" t="s">
        <v>384</v>
      </c>
      <c r="DJ156" s="7" t="s">
        <v>385</v>
      </c>
      <c r="DK156" s="7" t="s">
        <v>386</v>
      </c>
      <c r="DL156" s="7" t="s">
        <v>383</v>
      </c>
      <c r="DQ156" s="7" t="s">
        <v>1025</v>
      </c>
      <c r="DR156" s="7" t="s">
        <v>1024</v>
      </c>
      <c r="EL156" s="828" t="s">
        <v>1028</v>
      </c>
      <c r="EM156" s="312" t="s">
        <v>1027</v>
      </c>
      <c r="EN156" s="268" t="s">
        <v>1010</v>
      </c>
      <c r="EO156" s="380">
        <v>1</v>
      </c>
      <c r="EP156" s="380">
        <v>2</v>
      </c>
      <c r="EQ156" s="270">
        <v>0.4</v>
      </c>
      <c r="ER156" s="837">
        <v>0.08</v>
      </c>
      <c r="ES156" s="837">
        <v>0.6</v>
      </c>
      <c r="ET156" s="838">
        <v>0.92</v>
      </c>
    </row>
    <row r="157" spans="1:150" ht="57.75" customHeight="1" x14ac:dyDescent="0.2">
      <c r="A157" s="271" t="s">
        <v>90</v>
      </c>
      <c r="B157" s="424" t="s">
        <v>91</v>
      </c>
      <c r="C157" s="425" t="s">
        <v>992</v>
      </c>
      <c r="D157" s="425"/>
      <c r="E157" s="8" t="s">
        <v>57</v>
      </c>
      <c r="F157" s="643" t="str">
        <f t="shared" si="100"/>
        <v>E3.P_A</v>
      </c>
      <c r="G157" s="405" t="s">
        <v>250</v>
      </c>
      <c r="H157" s="644" t="s">
        <v>386</v>
      </c>
      <c r="I157" s="438"/>
      <c r="J157" s="278" t="s">
        <v>61</v>
      </c>
      <c r="K157" s="279" t="str">
        <f t="shared" si="101"/>
        <v>E3.P_A.MR1</v>
      </c>
      <c r="L157" s="404" t="s">
        <v>356</v>
      </c>
      <c r="M157" s="405" t="s">
        <v>995</v>
      </c>
      <c r="N157" s="487">
        <v>87</v>
      </c>
      <c r="O157" s="10">
        <v>114</v>
      </c>
      <c r="P157" s="476" t="s">
        <v>522</v>
      </c>
      <c r="Q157" s="488" t="str">
        <f t="shared" si="102"/>
        <v>E3.P_A.MR1-MP10-1</v>
      </c>
      <c r="R157" s="416" t="s">
        <v>1030</v>
      </c>
      <c r="S157" s="645" t="s">
        <v>1018</v>
      </c>
      <c r="T157" s="375">
        <v>3</v>
      </c>
      <c r="U157" s="376">
        <v>3</v>
      </c>
      <c r="V157" s="375" t="s">
        <v>102</v>
      </c>
      <c r="W157" s="309">
        <v>0.2</v>
      </c>
      <c r="X157" s="324">
        <v>0.8</v>
      </c>
      <c r="Y157" s="289">
        <v>1</v>
      </c>
      <c r="Z157" s="291">
        <v>1</v>
      </c>
      <c r="AA157" s="377"/>
      <c r="AB157" s="378"/>
      <c r="AC157" s="378"/>
      <c r="AD157" s="378"/>
      <c r="AE157" s="378"/>
      <c r="AF157" s="378"/>
      <c r="AG157" s="378"/>
      <c r="AH157" s="378"/>
      <c r="AI157" s="378"/>
      <c r="AJ157" s="378"/>
      <c r="AK157" s="378"/>
      <c r="AL157" s="378"/>
      <c r="AM157" s="378"/>
      <c r="AN157" s="378"/>
      <c r="AO157" s="378"/>
      <c r="AP157" s="378"/>
      <c r="AQ157" s="378"/>
      <c r="AR157" s="378"/>
      <c r="AS157" s="378"/>
      <c r="AT157" s="378"/>
      <c r="AU157" s="378"/>
      <c r="AV157" s="378"/>
      <c r="AW157" s="378"/>
      <c r="AX157" s="378"/>
      <c r="AY157" s="378"/>
      <c r="AZ157" s="378"/>
      <c r="BA157" s="378"/>
      <c r="BB157" s="378"/>
      <c r="BC157" s="379"/>
      <c r="BD157" s="295" t="s">
        <v>998</v>
      </c>
      <c r="BS157" s="89" t="s">
        <v>355</v>
      </c>
      <c r="BT157" s="89" t="s">
        <v>356</v>
      </c>
      <c r="BU157" s="88" t="s">
        <v>1028</v>
      </c>
      <c r="BV157" s="84" t="s">
        <v>1027</v>
      </c>
      <c r="DH157" s="7" t="s">
        <v>1032</v>
      </c>
      <c r="DI157" s="7" t="s">
        <v>384</v>
      </c>
      <c r="DJ157" s="7" t="s">
        <v>385</v>
      </c>
      <c r="DK157" s="7" t="s">
        <v>386</v>
      </c>
      <c r="DL157" s="7" t="s">
        <v>383</v>
      </c>
      <c r="DQ157" s="7" t="s">
        <v>1028</v>
      </c>
      <c r="DR157" s="7" t="s">
        <v>1027</v>
      </c>
      <c r="EL157" s="828" t="s">
        <v>1031</v>
      </c>
      <c r="EM157" s="312" t="s">
        <v>1030</v>
      </c>
      <c r="EN157" s="268" t="s">
        <v>1018</v>
      </c>
      <c r="EO157" s="380">
        <v>3</v>
      </c>
      <c r="EP157" s="380">
        <v>3</v>
      </c>
      <c r="EQ157" s="270">
        <v>2</v>
      </c>
      <c r="ER157" s="834">
        <v>1</v>
      </c>
      <c r="ES157" s="834">
        <v>1</v>
      </c>
      <c r="ET157" s="835">
        <v>1</v>
      </c>
    </row>
    <row r="158" spans="1:150" ht="56.25" customHeight="1" x14ac:dyDescent="0.2">
      <c r="A158" s="271" t="s">
        <v>90</v>
      </c>
      <c r="B158" s="424" t="s">
        <v>91</v>
      </c>
      <c r="C158" s="425" t="s">
        <v>992</v>
      </c>
      <c r="D158" s="425"/>
      <c r="E158" s="8" t="s">
        <v>57</v>
      </c>
      <c r="F158" s="643" t="str">
        <f t="shared" si="100"/>
        <v>E3.P_A</v>
      </c>
      <c r="G158" s="405" t="s">
        <v>250</v>
      </c>
      <c r="H158" s="644" t="s">
        <v>386</v>
      </c>
      <c r="I158" s="438"/>
      <c r="J158" s="278" t="s">
        <v>61</v>
      </c>
      <c r="K158" s="279" t="str">
        <f t="shared" si="101"/>
        <v>E3.P_A.MR1</v>
      </c>
      <c r="L158" s="404" t="s">
        <v>356</v>
      </c>
      <c r="M158" s="405" t="s">
        <v>995</v>
      </c>
      <c r="N158" s="487">
        <v>87</v>
      </c>
      <c r="O158" s="10">
        <v>114</v>
      </c>
      <c r="P158" s="476" t="s">
        <v>610</v>
      </c>
      <c r="Q158" s="488" t="str">
        <f t="shared" si="102"/>
        <v>E3.P_A.MR1-MP11-1</v>
      </c>
      <c r="R158" s="416" t="s">
        <v>1033</v>
      </c>
      <c r="S158" s="645" t="s">
        <v>1010</v>
      </c>
      <c r="T158" s="375">
        <v>2</v>
      </c>
      <c r="U158" s="376">
        <v>6</v>
      </c>
      <c r="V158" s="375" t="s">
        <v>67</v>
      </c>
      <c r="W158" s="289">
        <v>1</v>
      </c>
      <c r="X158" s="290">
        <v>2</v>
      </c>
      <c r="Y158" s="289">
        <v>1</v>
      </c>
      <c r="Z158" s="291">
        <v>0</v>
      </c>
      <c r="AA158" s="377"/>
      <c r="AB158" s="378"/>
      <c r="AC158" s="378"/>
      <c r="AD158" s="378"/>
      <c r="AE158" s="378"/>
      <c r="AF158" s="378"/>
      <c r="AG158" s="378"/>
      <c r="AH158" s="378"/>
      <c r="AI158" s="378"/>
      <c r="AJ158" s="378"/>
      <c r="AK158" s="378"/>
      <c r="AL158" s="378"/>
      <c r="AM158" s="378"/>
      <c r="AN158" s="378"/>
      <c r="AO158" s="378"/>
      <c r="AP158" s="378"/>
      <c r="AQ158" s="378"/>
      <c r="AR158" s="378"/>
      <c r="AS158" s="378"/>
      <c r="AT158" s="378"/>
      <c r="AU158" s="378"/>
      <c r="AV158" s="378"/>
      <c r="AW158" s="378"/>
      <c r="AX158" s="378"/>
      <c r="AY158" s="378"/>
      <c r="AZ158" s="378"/>
      <c r="BA158" s="378"/>
      <c r="BB158" s="378"/>
      <c r="BC158" s="379"/>
      <c r="BD158" s="295" t="s">
        <v>998</v>
      </c>
      <c r="BS158" s="89" t="s">
        <v>355</v>
      </c>
      <c r="BT158" s="89" t="s">
        <v>356</v>
      </c>
      <c r="BU158" s="88" t="s">
        <v>1031</v>
      </c>
      <c r="BV158" s="84" t="s">
        <v>1030</v>
      </c>
      <c r="DH158" s="7" t="s">
        <v>1035</v>
      </c>
      <c r="DI158" s="7" t="s">
        <v>384</v>
      </c>
      <c r="DJ158" s="7" t="s">
        <v>385</v>
      </c>
      <c r="DK158" s="7" t="s">
        <v>386</v>
      </c>
      <c r="DL158" s="7" t="s">
        <v>383</v>
      </c>
      <c r="DQ158" s="7" t="s">
        <v>1031</v>
      </c>
      <c r="DR158" s="7" t="s">
        <v>1030</v>
      </c>
      <c r="EL158" s="828" t="s">
        <v>1034</v>
      </c>
      <c r="EM158" s="312" t="s">
        <v>1033</v>
      </c>
      <c r="EN158" s="268" t="s">
        <v>1010</v>
      </c>
      <c r="EO158" s="831">
        <v>2</v>
      </c>
      <c r="EP158" s="831">
        <v>6</v>
      </c>
      <c r="EQ158" s="803">
        <v>1</v>
      </c>
      <c r="ER158" s="834">
        <v>1</v>
      </c>
      <c r="ES158" s="834">
        <v>2</v>
      </c>
      <c r="ET158" s="830">
        <v>0</v>
      </c>
    </row>
    <row r="159" spans="1:150" ht="54.75" customHeight="1" x14ac:dyDescent="0.2">
      <c r="A159" s="271" t="s">
        <v>90</v>
      </c>
      <c r="B159" s="424" t="s">
        <v>91</v>
      </c>
      <c r="C159" s="425" t="s">
        <v>992</v>
      </c>
      <c r="D159" s="425"/>
      <c r="E159" s="8" t="s">
        <v>57</v>
      </c>
      <c r="F159" s="643" t="str">
        <f t="shared" si="100"/>
        <v>E3.P_A</v>
      </c>
      <c r="G159" s="405" t="s">
        <v>250</v>
      </c>
      <c r="H159" s="644" t="s">
        <v>386</v>
      </c>
      <c r="I159" s="438"/>
      <c r="J159" s="278" t="s">
        <v>61</v>
      </c>
      <c r="K159" s="279" t="str">
        <f t="shared" si="101"/>
        <v>E3.P_A.MR1</v>
      </c>
      <c r="L159" s="404" t="s">
        <v>356</v>
      </c>
      <c r="M159" s="405" t="s">
        <v>995</v>
      </c>
      <c r="N159" s="487">
        <v>87</v>
      </c>
      <c r="O159" s="10">
        <v>114</v>
      </c>
      <c r="P159" s="476" t="s">
        <v>615</v>
      </c>
      <c r="Q159" s="488" t="str">
        <f t="shared" si="102"/>
        <v>E3.P_A.MR1-MP12-1</v>
      </c>
      <c r="R159" s="416" t="s">
        <v>1036</v>
      </c>
      <c r="S159" s="645" t="s">
        <v>1018</v>
      </c>
      <c r="T159" s="375">
        <v>6</v>
      </c>
      <c r="U159" s="376">
        <v>7</v>
      </c>
      <c r="V159" s="375" t="s">
        <v>67</v>
      </c>
      <c r="W159" s="309">
        <v>0.2</v>
      </c>
      <c r="X159" s="324">
        <v>1.8</v>
      </c>
      <c r="Y159" s="289">
        <v>3</v>
      </c>
      <c r="Z159" s="291">
        <v>2</v>
      </c>
      <c r="AA159" s="377"/>
      <c r="AB159" s="378"/>
      <c r="AC159" s="378"/>
      <c r="AD159" s="378"/>
      <c r="AE159" s="378"/>
      <c r="AF159" s="378"/>
      <c r="AG159" s="378"/>
      <c r="AH159" s="378"/>
      <c r="AI159" s="378"/>
      <c r="AJ159" s="378"/>
      <c r="AK159" s="378"/>
      <c r="AL159" s="378"/>
      <c r="AM159" s="378"/>
      <c r="AN159" s="378"/>
      <c r="AO159" s="378"/>
      <c r="AP159" s="378"/>
      <c r="AQ159" s="378"/>
      <c r="AR159" s="378"/>
      <c r="AS159" s="378"/>
      <c r="AT159" s="378"/>
      <c r="AU159" s="378"/>
      <c r="AV159" s="378"/>
      <c r="AW159" s="378"/>
      <c r="AX159" s="378"/>
      <c r="AY159" s="378"/>
      <c r="AZ159" s="378"/>
      <c r="BA159" s="378"/>
      <c r="BB159" s="378"/>
      <c r="BC159" s="379"/>
      <c r="BD159" s="295" t="s">
        <v>998</v>
      </c>
      <c r="BS159" s="89" t="s">
        <v>355</v>
      </c>
      <c r="BT159" s="89" t="s">
        <v>356</v>
      </c>
      <c r="BU159" s="88" t="s">
        <v>1034</v>
      </c>
      <c r="BV159" s="84" t="s">
        <v>1033</v>
      </c>
      <c r="DH159" s="7" t="s">
        <v>1038</v>
      </c>
      <c r="DI159" s="7" t="s">
        <v>384</v>
      </c>
      <c r="DJ159" s="7" t="s">
        <v>385</v>
      </c>
      <c r="DK159" s="7" t="s">
        <v>386</v>
      </c>
      <c r="DL159" s="7" t="s">
        <v>383</v>
      </c>
      <c r="DQ159" s="7" t="s">
        <v>1034</v>
      </c>
      <c r="DR159" s="7" t="s">
        <v>1033</v>
      </c>
      <c r="EL159" s="828" t="s">
        <v>1037</v>
      </c>
      <c r="EM159" s="312" t="s">
        <v>1036</v>
      </c>
      <c r="EN159" s="268" t="s">
        <v>1018</v>
      </c>
      <c r="EO159" s="380">
        <v>6</v>
      </c>
      <c r="EP159" s="380">
        <v>7</v>
      </c>
      <c r="EQ159" s="270">
        <v>0.2</v>
      </c>
      <c r="ER159" s="833">
        <v>0.4</v>
      </c>
      <c r="ES159" s="833">
        <v>0.4</v>
      </c>
      <c r="ET159" s="835">
        <v>0</v>
      </c>
    </row>
    <row r="160" spans="1:150" ht="74.25" customHeight="1" x14ac:dyDescent="0.2">
      <c r="A160" s="271" t="s">
        <v>90</v>
      </c>
      <c r="B160" s="424" t="s">
        <v>91</v>
      </c>
      <c r="C160" s="425" t="s">
        <v>992</v>
      </c>
      <c r="D160" s="425"/>
      <c r="E160" s="8" t="s">
        <v>57</v>
      </c>
      <c r="F160" s="643" t="str">
        <f t="shared" si="100"/>
        <v>E3.P_A</v>
      </c>
      <c r="G160" s="405" t="s">
        <v>250</v>
      </c>
      <c r="H160" s="644" t="s">
        <v>386</v>
      </c>
      <c r="I160" s="438"/>
      <c r="J160" s="278" t="s">
        <v>61</v>
      </c>
      <c r="K160" s="279" t="str">
        <f t="shared" si="101"/>
        <v>E3.P_A.MR1</v>
      </c>
      <c r="L160" s="404" t="s">
        <v>356</v>
      </c>
      <c r="M160" s="405" t="s">
        <v>995</v>
      </c>
      <c r="N160" s="487">
        <v>87</v>
      </c>
      <c r="O160" s="10">
        <v>114</v>
      </c>
      <c r="P160" s="476" t="s">
        <v>620</v>
      </c>
      <c r="Q160" s="488" t="str">
        <f t="shared" si="102"/>
        <v>E3.P_A.MR1-MP13-1</v>
      </c>
      <c r="R160" s="416" t="s">
        <v>1039</v>
      </c>
      <c r="S160" s="645" t="s">
        <v>1010</v>
      </c>
      <c r="T160" s="375">
        <v>0</v>
      </c>
      <c r="U160" s="376">
        <v>1</v>
      </c>
      <c r="V160" s="375" t="s">
        <v>67</v>
      </c>
      <c r="W160" s="289">
        <v>0</v>
      </c>
      <c r="X160" s="290">
        <v>1</v>
      </c>
      <c r="Y160" s="289">
        <v>0</v>
      </c>
      <c r="Z160" s="291">
        <v>0</v>
      </c>
      <c r="AA160" s="377"/>
      <c r="AB160" s="378"/>
      <c r="AC160" s="378"/>
      <c r="AD160" s="378"/>
      <c r="AE160" s="378"/>
      <c r="AF160" s="378"/>
      <c r="AG160" s="378"/>
      <c r="AH160" s="378"/>
      <c r="AI160" s="378"/>
      <c r="AJ160" s="378"/>
      <c r="AK160" s="378"/>
      <c r="AL160" s="378"/>
      <c r="AM160" s="378"/>
      <c r="AN160" s="378"/>
      <c r="AO160" s="378"/>
      <c r="AP160" s="378"/>
      <c r="AQ160" s="378"/>
      <c r="AR160" s="378"/>
      <c r="AS160" s="378"/>
      <c r="AT160" s="378"/>
      <c r="AU160" s="378"/>
      <c r="AV160" s="378"/>
      <c r="AW160" s="378"/>
      <c r="AX160" s="378"/>
      <c r="AY160" s="378"/>
      <c r="AZ160" s="378"/>
      <c r="BA160" s="378"/>
      <c r="BB160" s="378"/>
      <c r="BC160" s="379"/>
      <c r="BD160" s="295" t="s">
        <v>998</v>
      </c>
      <c r="BS160" s="89" t="s">
        <v>355</v>
      </c>
      <c r="BT160" s="89" t="s">
        <v>356</v>
      </c>
      <c r="BU160" s="88" t="s">
        <v>1037</v>
      </c>
      <c r="BV160" s="84" t="s">
        <v>1036</v>
      </c>
      <c r="DH160" s="7" t="s">
        <v>1041</v>
      </c>
      <c r="DI160" s="7" t="s">
        <v>384</v>
      </c>
      <c r="DJ160" s="7" t="s">
        <v>385</v>
      </c>
      <c r="DK160" s="7" t="s">
        <v>386</v>
      </c>
      <c r="DL160" s="7" t="s">
        <v>383</v>
      </c>
      <c r="DQ160" s="7" t="s">
        <v>1037</v>
      </c>
      <c r="DR160" s="7" t="s">
        <v>1036</v>
      </c>
      <c r="EL160" s="828" t="s">
        <v>1040</v>
      </c>
      <c r="EM160" s="312" t="s">
        <v>1039</v>
      </c>
      <c r="EN160" s="268" t="s">
        <v>1010</v>
      </c>
      <c r="EO160" s="380">
        <v>0</v>
      </c>
      <c r="EP160" s="380">
        <v>1</v>
      </c>
      <c r="EQ160" s="269">
        <v>0</v>
      </c>
      <c r="ER160" s="833">
        <v>0.7</v>
      </c>
      <c r="ES160" s="833">
        <v>0.3</v>
      </c>
      <c r="ET160" s="820">
        <v>0</v>
      </c>
    </row>
    <row r="161" spans="1:152" ht="66.75" customHeight="1" x14ac:dyDescent="0.2">
      <c r="A161" s="271" t="s">
        <v>90</v>
      </c>
      <c r="B161" s="424" t="s">
        <v>91</v>
      </c>
      <c r="C161" s="425" t="s">
        <v>992</v>
      </c>
      <c r="D161" s="425"/>
      <c r="E161" s="8" t="s">
        <v>57</v>
      </c>
      <c r="F161" s="643" t="str">
        <f t="shared" si="100"/>
        <v>E3.P_A</v>
      </c>
      <c r="G161" s="405" t="s">
        <v>250</v>
      </c>
      <c r="H161" s="644" t="s">
        <v>386</v>
      </c>
      <c r="I161" s="438"/>
      <c r="J161" s="278" t="s">
        <v>61</v>
      </c>
      <c r="K161" s="279" t="str">
        <f t="shared" si="101"/>
        <v>E3.P_A.MR1</v>
      </c>
      <c r="L161" s="404" t="s">
        <v>356</v>
      </c>
      <c r="M161" s="405" t="s">
        <v>995</v>
      </c>
      <c r="N161" s="487">
        <v>87</v>
      </c>
      <c r="O161" s="10">
        <v>114</v>
      </c>
      <c r="P161" s="476" t="s">
        <v>625</v>
      </c>
      <c r="Q161" s="488" t="str">
        <f t="shared" si="102"/>
        <v>E3.P_A.MR1-MP14-1</v>
      </c>
      <c r="R161" s="416" t="s">
        <v>1042</v>
      </c>
      <c r="S161" s="645" t="s">
        <v>1018</v>
      </c>
      <c r="T161" s="375">
        <v>1</v>
      </c>
      <c r="U161" s="376">
        <v>1</v>
      </c>
      <c r="V161" s="375" t="s">
        <v>102</v>
      </c>
      <c r="W161" s="289">
        <v>0</v>
      </c>
      <c r="X161" s="290">
        <v>0</v>
      </c>
      <c r="Y161" s="289">
        <v>0</v>
      </c>
      <c r="Z161" s="291">
        <v>1</v>
      </c>
      <c r="AA161" s="377"/>
      <c r="AB161" s="378"/>
      <c r="AC161" s="378"/>
      <c r="AD161" s="378"/>
      <c r="AE161" s="378"/>
      <c r="AF161" s="378"/>
      <c r="AG161" s="378"/>
      <c r="AH161" s="378"/>
      <c r="AI161" s="378"/>
      <c r="AJ161" s="378"/>
      <c r="AK161" s="378"/>
      <c r="AL161" s="378"/>
      <c r="AM161" s="378"/>
      <c r="AN161" s="378"/>
      <c r="AO161" s="378"/>
      <c r="AP161" s="378"/>
      <c r="AQ161" s="378"/>
      <c r="AR161" s="378"/>
      <c r="AS161" s="378"/>
      <c r="AT161" s="378"/>
      <c r="AU161" s="378"/>
      <c r="AV161" s="378"/>
      <c r="AW161" s="378"/>
      <c r="AX161" s="378"/>
      <c r="AY161" s="378"/>
      <c r="AZ161" s="378"/>
      <c r="BA161" s="378"/>
      <c r="BB161" s="378"/>
      <c r="BC161" s="379"/>
      <c r="BD161" s="295" t="s">
        <v>998</v>
      </c>
      <c r="BS161" s="89" t="s">
        <v>355</v>
      </c>
      <c r="BT161" s="89" t="s">
        <v>356</v>
      </c>
      <c r="BU161" s="88" t="s">
        <v>1040</v>
      </c>
      <c r="BV161" s="84" t="s">
        <v>1039</v>
      </c>
      <c r="DH161" s="7" t="s">
        <v>1044</v>
      </c>
      <c r="DI161" s="7" t="s">
        <v>384</v>
      </c>
      <c r="DJ161" s="7" t="s">
        <v>385</v>
      </c>
      <c r="DK161" s="7" t="s">
        <v>386</v>
      </c>
      <c r="DL161" s="7" t="s">
        <v>383</v>
      </c>
      <c r="DQ161" s="7" t="s">
        <v>1040</v>
      </c>
      <c r="DR161" s="7" t="s">
        <v>1039</v>
      </c>
      <c r="EL161" s="828" t="s">
        <v>1043</v>
      </c>
      <c r="EM161" s="312" t="s">
        <v>1042</v>
      </c>
      <c r="EN161" s="268" t="s">
        <v>1018</v>
      </c>
      <c r="EO161" s="380">
        <v>1</v>
      </c>
      <c r="EP161" s="380">
        <v>1</v>
      </c>
      <c r="EQ161" s="269">
        <v>0</v>
      </c>
      <c r="ER161" s="269">
        <v>0</v>
      </c>
      <c r="ES161" s="269">
        <v>0</v>
      </c>
      <c r="ET161" s="820">
        <v>1</v>
      </c>
    </row>
    <row r="162" spans="1:152" ht="59.25" customHeight="1" x14ac:dyDescent="0.2">
      <c r="A162" s="271" t="s">
        <v>90</v>
      </c>
      <c r="B162" s="424" t="s">
        <v>91</v>
      </c>
      <c r="C162" s="425" t="s">
        <v>992</v>
      </c>
      <c r="D162" s="425"/>
      <c r="E162" s="8" t="s">
        <v>57</v>
      </c>
      <c r="F162" s="643" t="str">
        <f t="shared" si="100"/>
        <v>E3.P_A</v>
      </c>
      <c r="G162" s="405" t="s">
        <v>250</v>
      </c>
      <c r="H162" s="644" t="s">
        <v>386</v>
      </c>
      <c r="I162" s="438"/>
      <c r="J162" s="278" t="s">
        <v>61</v>
      </c>
      <c r="K162" s="279" t="str">
        <f t="shared" si="101"/>
        <v>E3.P_A.MR1</v>
      </c>
      <c r="L162" s="404" t="s">
        <v>356</v>
      </c>
      <c r="M162" s="405" t="s">
        <v>995</v>
      </c>
      <c r="N162" s="487">
        <v>87</v>
      </c>
      <c r="O162" s="10">
        <v>114</v>
      </c>
      <c r="P162" s="476" t="s">
        <v>1045</v>
      </c>
      <c r="Q162" s="488" t="str">
        <f t="shared" si="102"/>
        <v>E3.P_A.MR1-MP15-1</v>
      </c>
      <c r="R162" s="416" t="s">
        <v>1046</v>
      </c>
      <c r="S162" s="645" t="s">
        <v>1010</v>
      </c>
      <c r="T162" s="375">
        <v>0</v>
      </c>
      <c r="U162" s="376">
        <v>3</v>
      </c>
      <c r="V162" s="375" t="s">
        <v>67</v>
      </c>
      <c r="W162" s="309">
        <v>0.5</v>
      </c>
      <c r="X162" s="324">
        <v>1.5</v>
      </c>
      <c r="Y162" s="289">
        <v>1</v>
      </c>
      <c r="Z162" s="291">
        <v>0</v>
      </c>
      <c r="AA162" s="377"/>
      <c r="AB162" s="378"/>
      <c r="AC162" s="378"/>
      <c r="AD162" s="378"/>
      <c r="AE162" s="378"/>
      <c r="AF162" s="378"/>
      <c r="AG162" s="378"/>
      <c r="AH162" s="378"/>
      <c r="AI162" s="378"/>
      <c r="AJ162" s="378"/>
      <c r="AK162" s="378"/>
      <c r="AL162" s="378"/>
      <c r="AM162" s="378"/>
      <c r="AN162" s="378"/>
      <c r="AO162" s="378"/>
      <c r="AP162" s="378"/>
      <c r="AQ162" s="378"/>
      <c r="AR162" s="378"/>
      <c r="AS162" s="378"/>
      <c r="AT162" s="378"/>
      <c r="AU162" s="378"/>
      <c r="AV162" s="378"/>
      <c r="AW162" s="378"/>
      <c r="AX162" s="378"/>
      <c r="AY162" s="378"/>
      <c r="AZ162" s="378"/>
      <c r="BA162" s="378"/>
      <c r="BB162" s="378"/>
      <c r="BC162" s="379"/>
      <c r="BD162" s="295" t="s">
        <v>998</v>
      </c>
      <c r="BS162" s="89" t="s">
        <v>355</v>
      </c>
      <c r="BT162" s="89" t="s">
        <v>356</v>
      </c>
      <c r="BU162" s="88" t="s">
        <v>1043</v>
      </c>
      <c r="BV162" s="84" t="s">
        <v>1042</v>
      </c>
      <c r="DH162" s="7" t="s">
        <v>1048</v>
      </c>
      <c r="DI162" s="7" t="s">
        <v>384</v>
      </c>
      <c r="DJ162" s="7" t="s">
        <v>385</v>
      </c>
      <c r="DK162" s="7" t="s">
        <v>386</v>
      </c>
      <c r="DL162" s="7" t="s">
        <v>383</v>
      </c>
      <c r="DQ162" s="7" t="s">
        <v>1043</v>
      </c>
      <c r="DR162" s="7" t="s">
        <v>1042</v>
      </c>
      <c r="EL162" s="828" t="s">
        <v>1047</v>
      </c>
      <c r="EM162" s="312" t="s">
        <v>1046</v>
      </c>
      <c r="EN162" s="268" t="s">
        <v>1010</v>
      </c>
      <c r="EO162" s="380">
        <v>0</v>
      </c>
      <c r="EP162" s="380">
        <v>3</v>
      </c>
      <c r="EQ162" s="270">
        <v>0.5</v>
      </c>
      <c r="ER162" s="833">
        <v>0.5</v>
      </c>
      <c r="ES162" s="269">
        <v>1</v>
      </c>
      <c r="ET162" s="835">
        <v>1</v>
      </c>
    </row>
    <row r="163" spans="1:152" ht="60.75" customHeight="1" x14ac:dyDescent="0.2">
      <c r="A163" s="271" t="s">
        <v>90</v>
      </c>
      <c r="B163" s="424" t="s">
        <v>91</v>
      </c>
      <c r="C163" s="425" t="s">
        <v>992</v>
      </c>
      <c r="D163" s="425"/>
      <c r="E163" s="8" t="s">
        <v>57</v>
      </c>
      <c r="F163" s="643" t="str">
        <f t="shared" si="100"/>
        <v>E3.P_A</v>
      </c>
      <c r="G163" s="405" t="s">
        <v>250</v>
      </c>
      <c r="H163" s="644" t="s">
        <v>386</v>
      </c>
      <c r="I163" s="438"/>
      <c r="J163" s="278" t="s">
        <v>61</v>
      </c>
      <c r="K163" s="279" t="str">
        <f t="shared" si="101"/>
        <v>E3.P_A.MR1</v>
      </c>
      <c r="L163" s="404" t="s">
        <v>356</v>
      </c>
      <c r="M163" s="405" t="s">
        <v>995</v>
      </c>
      <c r="N163" s="487">
        <v>87</v>
      </c>
      <c r="O163" s="10">
        <v>114</v>
      </c>
      <c r="P163" s="476" t="s">
        <v>635</v>
      </c>
      <c r="Q163" s="488" t="str">
        <f t="shared" si="102"/>
        <v>E3.P_A.MR1-MP16-1</v>
      </c>
      <c r="R163" s="416" t="s">
        <v>1049</v>
      </c>
      <c r="S163" s="645" t="s">
        <v>1018</v>
      </c>
      <c r="T163" s="375">
        <v>19</v>
      </c>
      <c r="U163" s="376">
        <v>22</v>
      </c>
      <c r="V163" s="375" t="s">
        <v>67</v>
      </c>
      <c r="W163" s="289">
        <v>4</v>
      </c>
      <c r="X163" s="290">
        <v>10</v>
      </c>
      <c r="Y163" s="289">
        <v>4</v>
      </c>
      <c r="Z163" s="291">
        <v>4</v>
      </c>
      <c r="AA163" s="377"/>
      <c r="AB163" s="378"/>
      <c r="AC163" s="378"/>
      <c r="AD163" s="378"/>
      <c r="AE163" s="378"/>
      <c r="AF163" s="378"/>
      <c r="AG163" s="378"/>
      <c r="AH163" s="378"/>
      <c r="AI163" s="378"/>
      <c r="AJ163" s="378"/>
      <c r="AK163" s="378"/>
      <c r="AL163" s="378"/>
      <c r="AM163" s="378"/>
      <c r="AN163" s="378"/>
      <c r="AO163" s="378"/>
      <c r="AP163" s="378"/>
      <c r="AQ163" s="378"/>
      <c r="AR163" s="378"/>
      <c r="AS163" s="378"/>
      <c r="AT163" s="378"/>
      <c r="AU163" s="378"/>
      <c r="AV163" s="378"/>
      <c r="AW163" s="378"/>
      <c r="AX163" s="378"/>
      <c r="AY163" s="378"/>
      <c r="AZ163" s="378"/>
      <c r="BA163" s="378"/>
      <c r="BB163" s="378"/>
      <c r="BC163" s="379"/>
      <c r="BD163" s="295" t="s">
        <v>998</v>
      </c>
      <c r="BS163" s="89" t="s">
        <v>355</v>
      </c>
      <c r="BT163" s="89" t="s">
        <v>356</v>
      </c>
      <c r="BU163" s="88" t="s">
        <v>1047</v>
      </c>
      <c r="BV163" s="84" t="s">
        <v>1046</v>
      </c>
      <c r="DH163" s="7" t="s">
        <v>1051</v>
      </c>
      <c r="DI163" s="7" t="s">
        <v>384</v>
      </c>
      <c r="DJ163" s="7" t="s">
        <v>385</v>
      </c>
      <c r="DK163" s="7" t="s">
        <v>386</v>
      </c>
      <c r="DL163" s="7" t="s">
        <v>383</v>
      </c>
      <c r="DQ163" s="7" t="s">
        <v>1047</v>
      </c>
      <c r="DR163" s="7" t="s">
        <v>1046</v>
      </c>
      <c r="EL163" s="828" t="s">
        <v>1050</v>
      </c>
      <c r="EM163" s="312" t="s">
        <v>1049</v>
      </c>
      <c r="EN163" s="268" t="s">
        <v>1018</v>
      </c>
      <c r="EO163" s="380">
        <v>19</v>
      </c>
      <c r="EP163" s="380">
        <v>22</v>
      </c>
      <c r="EQ163" s="269">
        <v>4</v>
      </c>
      <c r="ER163" s="834">
        <v>6</v>
      </c>
      <c r="ES163" s="834">
        <v>8</v>
      </c>
      <c r="ET163" s="820">
        <v>4</v>
      </c>
    </row>
    <row r="164" spans="1:152" ht="86.25" customHeight="1" x14ac:dyDescent="0.2">
      <c r="A164" s="271" t="s">
        <v>90</v>
      </c>
      <c r="B164" s="424" t="s">
        <v>91</v>
      </c>
      <c r="C164" s="425" t="s">
        <v>992</v>
      </c>
      <c r="D164" s="425"/>
      <c r="E164" s="8" t="s">
        <v>57</v>
      </c>
      <c r="F164" s="643" t="str">
        <f t="shared" si="100"/>
        <v>E3.P_A</v>
      </c>
      <c r="G164" s="405" t="s">
        <v>250</v>
      </c>
      <c r="H164" s="644" t="s">
        <v>386</v>
      </c>
      <c r="I164" s="438"/>
      <c r="J164" s="278" t="s">
        <v>61</v>
      </c>
      <c r="K164" s="279" t="str">
        <f t="shared" si="101"/>
        <v>E3.P_A.MR1</v>
      </c>
      <c r="L164" s="404" t="s">
        <v>356</v>
      </c>
      <c r="M164" s="405" t="s">
        <v>995</v>
      </c>
      <c r="N164" s="487">
        <v>87</v>
      </c>
      <c r="O164" s="10">
        <v>114</v>
      </c>
      <c r="P164" s="476" t="s">
        <v>1052</v>
      </c>
      <c r="Q164" s="488" t="str">
        <f t="shared" si="102"/>
        <v>E3.P_A.MR1-MP17-1</v>
      </c>
      <c r="R164" s="416" t="s">
        <v>1053</v>
      </c>
      <c r="S164" s="645" t="s">
        <v>1054</v>
      </c>
      <c r="T164" s="375">
        <v>0</v>
      </c>
      <c r="U164" s="376">
        <v>1</v>
      </c>
      <c r="V164" s="375" t="s">
        <v>67</v>
      </c>
      <c r="W164" s="309">
        <v>0</v>
      </c>
      <c r="X164" s="324">
        <v>1</v>
      </c>
      <c r="Y164" s="309">
        <v>0</v>
      </c>
      <c r="Z164" s="310">
        <v>0</v>
      </c>
      <c r="AA164" s="377"/>
      <c r="AB164" s="378"/>
      <c r="AC164" s="378"/>
      <c r="AD164" s="378"/>
      <c r="AE164" s="378"/>
      <c r="AF164" s="378"/>
      <c r="AG164" s="378"/>
      <c r="AH164" s="378"/>
      <c r="AI164" s="378"/>
      <c r="AJ164" s="378"/>
      <c r="AK164" s="378"/>
      <c r="AL164" s="378"/>
      <c r="AM164" s="378"/>
      <c r="AN164" s="378"/>
      <c r="AO164" s="378"/>
      <c r="AP164" s="378"/>
      <c r="AQ164" s="378"/>
      <c r="AR164" s="378"/>
      <c r="AS164" s="378"/>
      <c r="AT164" s="378"/>
      <c r="AU164" s="378"/>
      <c r="AV164" s="378"/>
      <c r="AW164" s="378"/>
      <c r="AX164" s="378"/>
      <c r="AY164" s="378"/>
      <c r="AZ164" s="378"/>
      <c r="BA164" s="378"/>
      <c r="BB164" s="378"/>
      <c r="BC164" s="379"/>
      <c r="BD164" s="295" t="s">
        <v>998</v>
      </c>
      <c r="BS164" s="89" t="s">
        <v>355</v>
      </c>
      <c r="BT164" s="89" t="s">
        <v>356</v>
      </c>
      <c r="BU164" s="88" t="s">
        <v>1050</v>
      </c>
      <c r="BV164" s="84" t="s">
        <v>1049</v>
      </c>
      <c r="DH164" s="7" t="s">
        <v>1056</v>
      </c>
      <c r="DI164" s="7" t="s">
        <v>384</v>
      </c>
      <c r="DJ164" s="7" t="s">
        <v>385</v>
      </c>
      <c r="DK164" s="7" t="s">
        <v>386</v>
      </c>
      <c r="DL164" s="7" t="s">
        <v>383</v>
      </c>
      <c r="DQ164" s="7" t="s">
        <v>1050</v>
      </c>
      <c r="DR164" s="7" t="s">
        <v>1049</v>
      </c>
      <c r="EL164" s="828" t="s">
        <v>1055</v>
      </c>
      <c r="EM164" s="312" t="s">
        <v>1053</v>
      </c>
      <c r="EN164" s="268" t="s">
        <v>1054</v>
      </c>
      <c r="EO164" s="380">
        <v>0</v>
      </c>
      <c r="EP164" s="380">
        <v>1</v>
      </c>
      <c r="EQ164" s="270">
        <v>0</v>
      </c>
      <c r="ER164" s="833">
        <v>0</v>
      </c>
      <c r="ES164" s="833">
        <v>0.8</v>
      </c>
      <c r="ET164" s="836">
        <v>0.2</v>
      </c>
    </row>
    <row r="165" spans="1:152" ht="177" customHeight="1" x14ac:dyDescent="0.2">
      <c r="A165" s="271" t="s">
        <v>90</v>
      </c>
      <c r="B165" s="424" t="s">
        <v>91</v>
      </c>
      <c r="C165" s="425" t="s">
        <v>992</v>
      </c>
      <c r="D165" s="425"/>
      <c r="E165" s="8" t="s">
        <v>57</v>
      </c>
      <c r="F165" s="643" t="str">
        <f t="shared" si="100"/>
        <v>E3.P_A</v>
      </c>
      <c r="G165" s="405" t="s">
        <v>250</v>
      </c>
      <c r="H165" s="644" t="s">
        <v>386</v>
      </c>
      <c r="I165" s="438"/>
      <c r="J165" s="278" t="s">
        <v>61</v>
      </c>
      <c r="K165" s="279" t="str">
        <f t="shared" si="101"/>
        <v>E3.P_A.MR1</v>
      </c>
      <c r="L165" s="404" t="s">
        <v>356</v>
      </c>
      <c r="M165" s="405" t="s">
        <v>995</v>
      </c>
      <c r="N165" s="487">
        <v>87</v>
      </c>
      <c r="O165" s="10">
        <v>114</v>
      </c>
      <c r="P165" s="476" t="s">
        <v>1057</v>
      </c>
      <c r="Q165" s="488" t="str">
        <f t="shared" si="102"/>
        <v>E3.P_A.MR1-MP18-1</v>
      </c>
      <c r="R165" s="416" t="s">
        <v>65</v>
      </c>
      <c r="S165" s="645" t="s">
        <v>1054</v>
      </c>
      <c r="T165" s="375">
        <v>0</v>
      </c>
      <c r="U165" s="376">
        <v>1</v>
      </c>
      <c r="V165" s="375" t="s">
        <v>67</v>
      </c>
      <c r="W165" s="309">
        <v>0.5</v>
      </c>
      <c r="X165" s="324">
        <v>0.5</v>
      </c>
      <c r="Y165" s="289">
        <v>0</v>
      </c>
      <c r="Z165" s="291">
        <v>0</v>
      </c>
      <c r="AA165" s="377"/>
      <c r="AB165" s="378"/>
      <c r="AC165" s="378"/>
      <c r="AD165" s="378"/>
      <c r="AE165" s="378"/>
      <c r="AF165" s="378"/>
      <c r="AG165" s="378"/>
      <c r="AH165" s="378"/>
      <c r="AI165" s="378"/>
      <c r="AJ165" s="378"/>
      <c r="AK165" s="378"/>
      <c r="AL165" s="378"/>
      <c r="AM165" s="378"/>
      <c r="AN165" s="378"/>
      <c r="AO165" s="378"/>
      <c r="AP165" s="378"/>
      <c r="AQ165" s="378"/>
      <c r="AR165" s="378"/>
      <c r="AS165" s="378"/>
      <c r="AT165" s="378"/>
      <c r="AU165" s="378"/>
      <c r="AV165" s="378"/>
      <c r="AW165" s="378"/>
      <c r="AX165" s="378"/>
      <c r="AY165" s="378"/>
      <c r="AZ165" s="378"/>
      <c r="BA165" s="378"/>
      <c r="BB165" s="378"/>
      <c r="BC165" s="379"/>
      <c r="BD165" s="295" t="s">
        <v>998</v>
      </c>
      <c r="BS165" s="89" t="s">
        <v>355</v>
      </c>
      <c r="BT165" s="89" t="s">
        <v>356</v>
      </c>
      <c r="BU165" s="88" t="s">
        <v>1055</v>
      </c>
      <c r="BV165" s="84" t="s">
        <v>1053</v>
      </c>
      <c r="DH165" s="7" t="s">
        <v>1059</v>
      </c>
      <c r="DI165" s="7" t="s">
        <v>384</v>
      </c>
      <c r="DJ165" s="7" t="s">
        <v>385</v>
      </c>
      <c r="DK165" s="7" t="s">
        <v>386</v>
      </c>
      <c r="DL165" s="7" t="s">
        <v>383</v>
      </c>
      <c r="DQ165" s="7" t="s">
        <v>1055</v>
      </c>
      <c r="DR165" s="7" t="s">
        <v>1053</v>
      </c>
      <c r="EL165" s="828" t="s">
        <v>1058</v>
      </c>
      <c r="EM165" s="312" t="s">
        <v>65</v>
      </c>
      <c r="EN165" s="804" t="s">
        <v>1054</v>
      </c>
      <c r="EO165" s="831">
        <v>0</v>
      </c>
      <c r="EP165" s="805">
        <v>0.3</v>
      </c>
      <c r="EQ165" s="802">
        <v>0</v>
      </c>
      <c r="ER165" s="833">
        <v>0</v>
      </c>
      <c r="ES165" s="833">
        <v>0</v>
      </c>
      <c r="ET165" s="836">
        <v>0.3</v>
      </c>
    </row>
    <row r="166" spans="1:152" ht="138.75" customHeight="1" x14ac:dyDescent="0.2">
      <c r="A166" s="271" t="s">
        <v>90</v>
      </c>
      <c r="B166" s="424" t="s">
        <v>91</v>
      </c>
      <c r="C166" s="425" t="s">
        <v>992</v>
      </c>
      <c r="D166" s="425"/>
      <c r="E166" s="8" t="s">
        <v>57</v>
      </c>
      <c r="F166" s="643" t="str">
        <f t="shared" si="100"/>
        <v>E3.P_A</v>
      </c>
      <c r="G166" s="405" t="s">
        <v>250</v>
      </c>
      <c r="H166" s="644" t="s">
        <v>386</v>
      </c>
      <c r="I166" s="438"/>
      <c r="J166" s="278" t="s">
        <v>61</v>
      </c>
      <c r="K166" s="279" t="str">
        <f t="shared" si="101"/>
        <v>E3.P_A.MR1</v>
      </c>
      <c r="L166" s="404" t="s">
        <v>356</v>
      </c>
      <c r="M166" s="405" t="s">
        <v>995</v>
      </c>
      <c r="N166" s="487">
        <v>87</v>
      </c>
      <c r="O166" s="10">
        <v>114</v>
      </c>
      <c r="P166" s="476" t="s">
        <v>1060</v>
      </c>
      <c r="Q166" s="488" t="str">
        <f t="shared" si="102"/>
        <v>E3.P_A.MR1-MP19-1</v>
      </c>
      <c r="R166" s="416" t="s">
        <v>1061</v>
      </c>
      <c r="S166" s="645" t="s">
        <v>1054</v>
      </c>
      <c r="T166" s="375">
        <v>0</v>
      </c>
      <c r="U166" s="376">
        <v>1</v>
      </c>
      <c r="V166" s="375" t="s">
        <v>67</v>
      </c>
      <c r="W166" s="315">
        <v>0.15</v>
      </c>
      <c r="X166" s="316">
        <v>0.05</v>
      </c>
      <c r="Y166" s="309">
        <v>0.3</v>
      </c>
      <c r="Z166" s="310">
        <v>0.5</v>
      </c>
      <c r="AA166" s="377"/>
      <c r="AB166" s="378"/>
      <c r="AC166" s="378"/>
      <c r="AD166" s="378"/>
      <c r="AE166" s="378"/>
      <c r="AF166" s="378"/>
      <c r="AG166" s="378"/>
      <c r="AH166" s="378"/>
      <c r="AI166" s="378"/>
      <c r="AJ166" s="378"/>
      <c r="AK166" s="378"/>
      <c r="AL166" s="378"/>
      <c r="AM166" s="378"/>
      <c r="AN166" s="378"/>
      <c r="AO166" s="378"/>
      <c r="AP166" s="378"/>
      <c r="AQ166" s="378"/>
      <c r="AR166" s="378"/>
      <c r="AS166" s="378"/>
      <c r="AT166" s="378"/>
      <c r="AU166" s="378"/>
      <c r="AV166" s="378"/>
      <c r="AW166" s="378"/>
      <c r="AX166" s="378"/>
      <c r="AY166" s="378"/>
      <c r="AZ166" s="378"/>
      <c r="BA166" s="378"/>
      <c r="BB166" s="378"/>
      <c r="BC166" s="379"/>
      <c r="BD166" s="295" t="s">
        <v>998</v>
      </c>
      <c r="BS166" s="89" t="s">
        <v>355</v>
      </c>
      <c r="BT166" s="89" t="s">
        <v>356</v>
      </c>
      <c r="BU166" s="88" t="s">
        <v>1058</v>
      </c>
      <c r="BV166" s="84" t="s">
        <v>65</v>
      </c>
      <c r="DH166" s="7" t="s">
        <v>1063</v>
      </c>
      <c r="DI166" s="7" t="s">
        <v>384</v>
      </c>
      <c r="DJ166" s="7" t="s">
        <v>385</v>
      </c>
      <c r="DK166" s="7" t="s">
        <v>386</v>
      </c>
      <c r="DL166" s="7" t="s">
        <v>383</v>
      </c>
      <c r="DQ166" s="7" t="s">
        <v>1058</v>
      </c>
      <c r="DR166" s="7" t="s">
        <v>65</v>
      </c>
      <c r="EL166" s="828" t="s">
        <v>1062</v>
      </c>
      <c r="EM166" s="312" t="s">
        <v>1061</v>
      </c>
      <c r="EN166" s="268" t="s">
        <v>1054</v>
      </c>
      <c r="EO166" s="380">
        <v>0</v>
      </c>
      <c r="EP166" s="380">
        <v>1</v>
      </c>
      <c r="EQ166" s="323">
        <v>0.15</v>
      </c>
      <c r="ER166" s="837">
        <v>0.1</v>
      </c>
      <c r="ES166" s="837">
        <v>0.75</v>
      </c>
      <c r="ET166" s="836">
        <v>0</v>
      </c>
    </row>
    <row r="167" spans="1:152" ht="78.75" customHeight="1" x14ac:dyDescent="0.2">
      <c r="A167" s="271" t="s">
        <v>90</v>
      </c>
      <c r="B167" s="424" t="s">
        <v>91</v>
      </c>
      <c r="C167" s="425" t="s">
        <v>992</v>
      </c>
      <c r="D167" s="425"/>
      <c r="E167" s="8" t="s">
        <v>57</v>
      </c>
      <c r="F167" s="643" t="str">
        <f t="shared" si="100"/>
        <v>E3.P_A</v>
      </c>
      <c r="G167" s="405" t="s">
        <v>250</v>
      </c>
      <c r="H167" s="644" t="s">
        <v>386</v>
      </c>
      <c r="I167" s="438"/>
      <c r="J167" s="278" t="s">
        <v>61</v>
      </c>
      <c r="K167" s="279" t="str">
        <f t="shared" si="101"/>
        <v>E3.P_A.MR1</v>
      </c>
      <c r="L167" s="404" t="s">
        <v>356</v>
      </c>
      <c r="M167" s="405" t="s">
        <v>995</v>
      </c>
      <c r="N167" s="487">
        <v>87</v>
      </c>
      <c r="O167" s="10">
        <v>114</v>
      </c>
      <c r="P167" s="476" t="s">
        <v>1064</v>
      </c>
      <c r="Q167" s="488" t="str">
        <f t="shared" si="102"/>
        <v>E3.P_A.MR1-MP20-1</v>
      </c>
      <c r="R167" s="416" t="s">
        <v>1065</v>
      </c>
      <c r="S167" s="645" t="s">
        <v>1054</v>
      </c>
      <c r="T167" s="375">
        <v>0</v>
      </c>
      <c r="U167" s="376">
        <v>1</v>
      </c>
      <c r="V167" s="375" t="s">
        <v>67</v>
      </c>
      <c r="W167" s="315">
        <v>0.05</v>
      </c>
      <c r="X167" s="290">
        <v>0</v>
      </c>
      <c r="Y167" s="315">
        <v>0.45</v>
      </c>
      <c r="Z167" s="310">
        <v>0.5</v>
      </c>
      <c r="AA167" s="377"/>
      <c r="AB167" s="378"/>
      <c r="AC167" s="378"/>
      <c r="AD167" s="378"/>
      <c r="AE167" s="378"/>
      <c r="AF167" s="378"/>
      <c r="AG167" s="378"/>
      <c r="AH167" s="378"/>
      <c r="AI167" s="378"/>
      <c r="AJ167" s="378"/>
      <c r="AK167" s="378"/>
      <c r="AL167" s="378"/>
      <c r="AM167" s="378"/>
      <c r="AN167" s="378"/>
      <c r="AO167" s="378"/>
      <c r="AP167" s="378"/>
      <c r="AQ167" s="378"/>
      <c r="AR167" s="378"/>
      <c r="AS167" s="378"/>
      <c r="AT167" s="378"/>
      <c r="AU167" s="378"/>
      <c r="AV167" s="378"/>
      <c r="AW167" s="378"/>
      <c r="AX167" s="378"/>
      <c r="AY167" s="378"/>
      <c r="AZ167" s="378"/>
      <c r="BA167" s="378"/>
      <c r="BB167" s="378"/>
      <c r="BC167" s="379"/>
      <c r="BD167" s="295" t="s">
        <v>998</v>
      </c>
      <c r="BS167" s="89" t="s">
        <v>355</v>
      </c>
      <c r="BT167" s="89" t="s">
        <v>356</v>
      </c>
      <c r="BU167" s="88" t="s">
        <v>1062</v>
      </c>
      <c r="BV167" s="84" t="s">
        <v>1061</v>
      </c>
      <c r="DH167" s="7" t="s">
        <v>1067</v>
      </c>
      <c r="DI167" s="7" t="s">
        <v>384</v>
      </c>
      <c r="DJ167" s="7" t="s">
        <v>385</v>
      </c>
      <c r="DK167" s="7" t="s">
        <v>386</v>
      </c>
      <c r="DL167" s="7" t="s">
        <v>383</v>
      </c>
      <c r="DQ167" s="7" t="s">
        <v>1062</v>
      </c>
      <c r="DR167" s="7" t="s">
        <v>1061</v>
      </c>
      <c r="EL167" s="828" t="s">
        <v>1066</v>
      </c>
      <c r="EM167" s="312" t="s">
        <v>1065</v>
      </c>
      <c r="EN167" s="268" t="s">
        <v>1054</v>
      </c>
      <c r="EO167" s="380">
        <v>0</v>
      </c>
      <c r="EP167" s="380">
        <v>1</v>
      </c>
      <c r="EQ167" s="323">
        <v>0</v>
      </c>
      <c r="ER167" s="837">
        <v>0.05</v>
      </c>
      <c r="ES167" s="323">
        <v>0.4</v>
      </c>
      <c r="ET167" s="838">
        <v>0.55000000000000004</v>
      </c>
    </row>
    <row r="168" spans="1:152" ht="96" customHeight="1" thickBot="1" x14ac:dyDescent="0.25">
      <c r="A168" s="271" t="s">
        <v>90</v>
      </c>
      <c r="B168" s="424" t="s">
        <v>91</v>
      </c>
      <c r="C168" s="425" t="s">
        <v>992</v>
      </c>
      <c r="D168" s="425"/>
      <c r="E168" s="8" t="s">
        <v>57</v>
      </c>
      <c r="F168" s="643" t="str">
        <f t="shared" si="100"/>
        <v>E3.P_A</v>
      </c>
      <c r="G168" s="421" t="s">
        <v>250</v>
      </c>
      <c r="H168" s="648" t="s">
        <v>386</v>
      </c>
      <c r="I168" s="442"/>
      <c r="J168" s="335" t="s">
        <v>61</v>
      </c>
      <c r="K168" s="395" t="str">
        <f t="shared" si="101"/>
        <v>E3.P_A.MR1</v>
      </c>
      <c r="L168" s="420" t="s">
        <v>356</v>
      </c>
      <c r="M168" s="405" t="s">
        <v>995</v>
      </c>
      <c r="N168" s="493">
        <v>87</v>
      </c>
      <c r="O168" s="12">
        <v>114</v>
      </c>
      <c r="P168" s="649" t="s">
        <v>1068</v>
      </c>
      <c r="Q168" s="494" t="str">
        <f t="shared" si="102"/>
        <v>E3.P_A.MR1-MP21-1</v>
      </c>
      <c r="R168" s="471" t="s">
        <v>1069</v>
      </c>
      <c r="S168" s="650" t="s">
        <v>1054</v>
      </c>
      <c r="T168" s="387">
        <v>0</v>
      </c>
      <c r="U168" s="388">
        <v>1</v>
      </c>
      <c r="V168" s="387" t="s">
        <v>67</v>
      </c>
      <c r="W168" s="397">
        <v>0</v>
      </c>
      <c r="X168" s="616">
        <v>0.1</v>
      </c>
      <c r="Y168" s="397">
        <v>0.4</v>
      </c>
      <c r="Z168" s="398">
        <v>0.4</v>
      </c>
      <c r="AA168" s="377"/>
      <c r="AB168" s="378"/>
      <c r="AC168" s="378"/>
      <c r="AD168" s="378"/>
      <c r="AE168" s="378"/>
      <c r="AF168" s="378"/>
      <c r="AG168" s="378"/>
      <c r="AH168" s="378"/>
      <c r="AI168" s="378"/>
      <c r="AJ168" s="378"/>
      <c r="AK168" s="378"/>
      <c r="AL168" s="378"/>
      <c r="AM168" s="378"/>
      <c r="AN168" s="378"/>
      <c r="AO168" s="378"/>
      <c r="AP168" s="378"/>
      <c r="AQ168" s="378"/>
      <c r="AR168" s="378"/>
      <c r="AS168" s="378"/>
      <c r="AT168" s="378"/>
      <c r="AU168" s="378"/>
      <c r="AV168" s="378"/>
      <c r="AW168" s="378"/>
      <c r="AX168" s="378"/>
      <c r="AY168" s="378"/>
      <c r="AZ168" s="378"/>
      <c r="BA168" s="378"/>
      <c r="BB168" s="378"/>
      <c r="BC168" s="379"/>
      <c r="BD168" s="295" t="s">
        <v>998</v>
      </c>
      <c r="BS168" s="89" t="s">
        <v>355</v>
      </c>
      <c r="BT168" s="89" t="s">
        <v>356</v>
      </c>
      <c r="BU168" s="88" t="s">
        <v>1066</v>
      </c>
      <c r="BV168" s="84" t="s">
        <v>1065</v>
      </c>
      <c r="DH168" s="7" t="s">
        <v>1071</v>
      </c>
      <c r="DI168" s="7" t="s">
        <v>384</v>
      </c>
      <c r="DJ168" s="7" t="s">
        <v>385</v>
      </c>
      <c r="DK168" s="7" t="s">
        <v>386</v>
      </c>
      <c r="DL168" s="7" t="s">
        <v>383</v>
      </c>
      <c r="DQ168" s="7" t="s">
        <v>1066</v>
      </c>
      <c r="DR168" s="7" t="s">
        <v>1065</v>
      </c>
      <c r="EL168" s="828" t="s">
        <v>1070</v>
      </c>
      <c r="EM168" s="312" t="s">
        <v>1069</v>
      </c>
      <c r="EN168" s="268" t="s">
        <v>1054</v>
      </c>
      <c r="EO168" s="380">
        <v>0</v>
      </c>
      <c r="EP168" s="380">
        <v>1</v>
      </c>
      <c r="EQ168" s="802">
        <v>0</v>
      </c>
      <c r="ER168" s="833">
        <v>0</v>
      </c>
      <c r="ES168" s="833">
        <v>1</v>
      </c>
      <c r="ET168" s="836">
        <v>0</v>
      </c>
    </row>
    <row r="169" spans="1:152" ht="120.75" customHeight="1" x14ac:dyDescent="0.2">
      <c r="A169" s="271" t="s">
        <v>90</v>
      </c>
      <c r="B169" s="424" t="s">
        <v>91</v>
      </c>
      <c r="C169" s="425" t="s">
        <v>992</v>
      </c>
      <c r="D169" s="426" t="s">
        <v>993</v>
      </c>
      <c r="E169" s="3" t="s">
        <v>372</v>
      </c>
      <c r="F169" s="427" t="str">
        <f t="shared" si="100"/>
        <v>E3.P_B</v>
      </c>
      <c r="G169" s="600" t="s">
        <v>259</v>
      </c>
      <c r="H169" s="234" t="s">
        <v>397</v>
      </c>
      <c r="I169" s="651" t="s">
        <v>1072</v>
      </c>
      <c r="J169" s="652" t="s">
        <v>61</v>
      </c>
      <c r="K169" s="411" t="str">
        <f t="shared" si="101"/>
        <v>E3.P_B.MR1</v>
      </c>
      <c r="L169" s="355" t="s">
        <v>367</v>
      </c>
      <c r="M169" s="356" t="s">
        <v>1073</v>
      </c>
      <c r="N169" s="653" t="s">
        <v>1074</v>
      </c>
      <c r="O169" s="653" t="s">
        <v>1075</v>
      </c>
      <c r="P169" s="359" t="s">
        <v>64</v>
      </c>
      <c r="Q169" s="360" t="str">
        <f t="shared" si="102"/>
        <v>E3.P_B.MR1-MP01-1</v>
      </c>
      <c r="R169" s="412" t="s">
        <v>1076</v>
      </c>
      <c r="S169" s="502" t="s">
        <v>1077</v>
      </c>
      <c r="T169" s="612">
        <v>0.3</v>
      </c>
      <c r="U169" s="613">
        <v>1</v>
      </c>
      <c r="V169" s="363" t="s">
        <v>67</v>
      </c>
      <c r="W169" s="249">
        <v>0</v>
      </c>
      <c r="X169" s="365">
        <v>1</v>
      </c>
      <c r="Y169" s="249">
        <v>0</v>
      </c>
      <c r="Z169" s="366">
        <v>0</v>
      </c>
      <c r="AA169" s="585">
        <f>60000000+110000000+72000000+58000000+16000000+75000000+670823772+4467823630+7229147100+106038236+5490975116-54150612-100000000-1320419925-701703100+533570537-292643986</f>
        <v>16420460768</v>
      </c>
      <c r="AB169" s="586">
        <v>0</v>
      </c>
      <c r="AC169" s="586">
        <f>1500000000+4034572820+54150612+100000000+1000000000+701703100+292643986</f>
        <v>7683070518</v>
      </c>
      <c r="AD169" s="586">
        <v>0</v>
      </c>
      <c r="AE169" s="586">
        <v>0</v>
      </c>
      <c r="AF169" s="586">
        <f>642823000+200000000+400000000+757742710+213611846+576646770</f>
        <v>2790824326</v>
      </c>
      <c r="AG169" s="586">
        <f t="shared" ref="AG169" si="115">SUM(AA169:AF169)</f>
        <v>26894355612</v>
      </c>
      <c r="AH169" s="586">
        <f t="shared" ref="AH169:AL169" si="116">AA169*1.035</f>
        <v>16995176894.879999</v>
      </c>
      <c r="AI169" s="586">
        <f t="shared" si="116"/>
        <v>0</v>
      </c>
      <c r="AJ169" s="586">
        <f t="shared" si="116"/>
        <v>7951977986.1299992</v>
      </c>
      <c r="AK169" s="586">
        <f t="shared" si="116"/>
        <v>0</v>
      </c>
      <c r="AL169" s="586">
        <f t="shared" si="116"/>
        <v>0</v>
      </c>
      <c r="AM169" s="586">
        <f>AF169*1.035</f>
        <v>2888503177.4099998</v>
      </c>
      <c r="AN169" s="586">
        <f t="shared" ref="AN169" si="117">SUM(AH169:AM169)</f>
        <v>27835658058.419998</v>
      </c>
      <c r="AO169" s="586">
        <f t="shared" ref="AO169:AS169" si="118">AH169*1.035</f>
        <v>17590008086.200798</v>
      </c>
      <c r="AP169" s="586">
        <f t="shared" si="118"/>
        <v>0</v>
      </c>
      <c r="AQ169" s="586">
        <f t="shared" si="118"/>
        <v>8230297215.6445484</v>
      </c>
      <c r="AR169" s="586">
        <f t="shared" si="118"/>
        <v>0</v>
      </c>
      <c r="AS169" s="586">
        <f t="shared" si="118"/>
        <v>0</v>
      </c>
      <c r="AT169" s="586">
        <f>AM169*1.035</f>
        <v>2989600788.6193495</v>
      </c>
      <c r="AU169" s="586">
        <f t="shared" ref="AU169" si="119">SUM(AO169:AT169)</f>
        <v>28809906090.464695</v>
      </c>
      <c r="AV169" s="586">
        <f t="shared" ref="AV169:AZ169" si="120">AO169*1.035</f>
        <v>18205658369.217823</v>
      </c>
      <c r="AW169" s="586">
        <f t="shared" si="120"/>
        <v>0</v>
      </c>
      <c r="AX169" s="586">
        <f t="shared" si="120"/>
        <v>8518357618.1921072</v>
      </c>
      <c r="AY169" s="586">
        <f t="shared" si="120"/>
        <v>0</v>
      </c>
      <c r="AZ169" s="586">
        <f t="shared" si="120"/>
        <v>0</v>
      </c>
      <c r="BA169" s="586">
        <f>AT169*1.035</f>
        <v>3094236816.2210264</v>
      </c>
      <c r="BB169" s="586">
        <f t="shared" ref="BB169" si="121">SUM(AV169:BA169)</f>
        <v>29818252803.630959</v>
      </c>
      <c r="BC169" s="654">
        <f t="shared" ref="BC169" si="122">+BB169+AU169+AN169+AG169</f>
        <v>113358172564.51566</v>
      </c>
      <c r="BD169" s="295" t="s">
        <v>998</v>
      </c>
      <c r="BS169" s="89" t="s">
        <v>355</v>
      </c>
      <c r="BT169" s="89" t="s">
        <v>356</v>
      </c>
      <c r="BU169" s="88" t="s">
        <v>1070</v>
      </c>
      <c r="BV169" s="84" t="s">
        <v>1069</v>
      </c>
      <c r="DH169" s="7" t="s">
        <v>1079</v>
      </c>
      <c r="DI169" s="7" t="s">
        <v>384</v>
      </c>
      <c r="DJ169" s="7" t="s">
        <v>385</v>
      </c>
      <c r="DK169" s="7" t="s">
        <v>386</v>
      </c>
      <c r="DL169" s="7" t="s">
        <v>383</v>
      </c>
      <c r="DQ169" s="7" t="s">
        <v>1070</v>
      </c>
      <c r="DR169" s="7" t="s">
        <v>1069</v>
      </c>
      <c r="EL169" s="822" t="s">
        <v>1078</v>
      </c>
      <c r="EM169" s="312" t="s">
        <v>1076</v>
      </c>
      <c r="EN169" s="268" t="s">
        <v>1077</v>
      </c>
      <c r="EO169" s="268">
        <v>0.3</v>
      </c>
      <c r="EP169" s="268">
        <v>1</v>
      </c>
      <c r="EQ169" s="269">
        <v>0</v>
      </c>
      <c r="ER169" s="834">
        <v>0</v>
      </c>
      <c r="ES169" s="834">
        <v>1</v>
      </c>
      <c r="ET169" s="820">
        <v>0</v>
      </c>
    </row>
    <row r="170" spans="1:152" ht="84.75" customHeight="1" x14ac:dyDescent="0.2">
      <c r="A170" s="271" t="s">
        <v>90</v>
      </c>
      <c r="B170" s="424" t="s">
        <v>91</v>
      </c>
      <c r="C170" s="425" t="s">
        <v>992</v>
      </c>
      <c r="D170" s="425"/>
      <c r="E170" s="8" t="s">
        <v>372</v>
      </c>
      <c r="F170" s="275" t="str">
        <f t="shared" si="100"/>
        <v>E3.P_B</v>
      </c>
      <c r="G170" s="276" t="s">
        <v>259</v>
      </c>
      <c r="H170" s="276" t="s">
        <v>397</v>
      </c>
      <c r="I170" s="452"/>
      <c r="J170" s="453" t="s">
        <v>61</v>
      </c>
      <c r="K170" s="368" t="str">
        <f t="shared" si="101"/>
        <v>E3.P_B.MR1</v>
      </c>
      <c r="L170" s="404" t="s">
        <v>367</v>
      </c>
      <c r="M170" s="405" t="s">
        <v>1073</v>
      </c>
      <c r="N170" s="281" t="s">
        <v>1074</v>
      </c>
      <c r="O170" s="281" t="s">
        <v>1075</v>
      </c>
      <c r="P170" s="371" t="s">
        <v>87</v>
      </c>
      <c r="Q170" s="372" t="str">
        <f t="shared" si="102"/>
        <v>E3.P_B.MR1-MP02-1</v>
      </c>
      <c r="R170" s="416" t="s">
        <v>1080</v>
      </c>
      <c r="S170" s="308" t="s">
        <v>1081</v>
      </c>
      <c r="T170" s="287">
        <v>6</v>
      </c>
      <c r="U170" s="288">
        <v>8</v>
      </c>
      <c r="V170" s="287"/>
      <c r="W170" s="309"/>
      <c r="X170" s="324"/>
      <c r="Y170" s="309"/>
      <c r="Z170" s="310"/>
      <c r="AA170" s="292"/>
      <c r="AB170" s="293"/>
      <c r="AC170" s="293"/>
      <c r="AD170" s="293"/>
      <c r="AE170" s="293"/>
      <c r="AF170" s="293"/>
      <c r="AG170" s="293"/>
      <c r="AH170" s="293"/>
      <c r="AI170" s="293"/>
      <c r="AJ170" s="293"/>
      <c r="AK170" s="293"/>
      <c r="AL170" s="293"/>
      <c r="AM170" s="293"/>
      <c r="AN170" s="293"/>
      <c r="AO170" s="293"/>
      <c r="AP170" s="293"/>
      <c r="AQ170" s="293"/>
      <c r="AR170" s="293"/>
      <c r="AS170" s="293"/>
      <c r="AT170" s="293"/>
      <c r="AU170" s="293"/>
      <c r="AV170" s="293"/>
      <c r="AW170" s="293"/>
      <c r="AX170" s="293"/>
      <c r="AY170" s="293"/>
      <c r="AZ170" s="293"/>
      <c r="BA170" s="293"/>
      <c r="BB170" s="293"/>
      <c r="BC170" s="294"/>
      <c r="BD170" s="295" t="s">
        <v>998</v>
      </c>
      <c r="BS170" s="90" t="s">
        <v>366</v>
      </c>
      <c r="BT170" s="90" t="s">
        <v>367</v>
      </c>
      <c r="BU170" s="87" t="s">
        <v>1078</v>
      </c>
      <c r="BV170" s="90" t="s">
        <v>1076</v>
      </c>
      <c r="DH170" s="7" t="s">
        <v>1083</v>
      </c>
      <c r="DI170" s="7" t="s">
        <v>384</v>
      </c>
      <c r="DJ170" s="7" t="s">
        <v>396</v>
      </c>
      <c r="DK170" s="7" t="s">
        <v>397</v>
      </c>
      <c r="DL170" s="7" t="s">
        <v>395</v>
      </c>
      <c r="DQ170" s="7" t="s">
        <v>1078</v>
      </c>
      <c r="DR170" s="7" t="s">
        <v>1076</v>
      </c>
      <c r="EL170" s="822" t="s">
        <v>1082</v>
      </c>
      <c r="EM170" s="312" t="s">
        <v>1080</v>
      </c>
      <c r="EN170" s="268" t="s">
        <v>1081</v>
      </c>
      <c r="EO170" s="268">
        <v>6</v>
      </c>
      <c r="EP170" s="804">
        <v>8</v>
      </c>
      <c r="EQ170" s="802">
        <v>0</v>
      </c>
      <c r="ER170" s="833">
        <v>0</v>
      </c>
      <c r="ES170" s="833">
        <v>2</v>
      </c>
      <c r="ET170" s="825">
        <v>0</v>
      </c>
    </row>
    <row r="171" spans="1:152" ht="53.25" customHeight="1" x14ac:dyDescent="0.2">
      <c r="A171" s="271" t="s">
        <v>90</v>
      </c>
      <c r="B171" s="424" t="s">
        <v>91</v>
      </c>
      <c r="C171" s="425" t="s">
        <v>992</v>
      </c>
      <c r="D171" s="425"/>
      <c r="E171" s="8" t="s">
        <v>372</v>
      </c>
      <c r="F171" s="275" t="str">
        <f t="shared" si="100"/>
        <v>E3.P_B</v>
      </c>
      <c r="G171" s="276" t="s">
        <v>259</v>
      </c>
      <c r="H171" s="276" t="s">
        <v>397</v>
      </c>
      <c r="I171" s="452"/>
      <c r="J171" s="453" t="s">
        <v>61</v>
      </c>
      <c r="K171" s="368" t="str">
        <f t="shared" si="101"/>
        <v>E3.P_B.MR1</v>
      </c>
      <c r="L171" s="404" t="s">
        <v>367</v>
      </c>
      <c r="M171" s="405" t="s">
        <v>1073</v>
      </c>
      <c r="N171" s="281" t="s">
        <v>1074</v>
      </c>
      <c r="O171" s="281" t="s">
        <v>1075</v>
      </c>
      <c r="P171" s="371" t="s">
        <v>99</v>
      </c>
      <c r="Q171" s="372" t="str">
        <f t="shared" si="102"/>
        <v>E3.P_B.MR1-MP03-1</v>
      </c>
      <c r="R171" s="416" t="s">
        <v>1084</v>
      </c>
      <c r="S171" s="308" t="s">
        <v>1085</v>
      </c>
      <c r="T171" s="375">
        <v>15</v>
      </c>
      <c r="U171" s="376">
        <v>35</v>
      </c>
      <c r="V171" s="375"/>
      <c r="W171" s="309"/>
      <c r="X171" s="324"/>
      <c r="Y171" s="309"/>
      <c r="Z171" s="310"/>
      <c r="AA171" s="377"/>
      <c r="AB171" s="378"/>
      <c r="AC171" s="378"/>
      <c r="AD171" s="378"/>
      <c r="AE171" s="378"/>
      <c r="AF171" s="378"/>
      <c r="AG171" s="378"/>
      <c r="AH171" s="378"/>
      <c r="AI171" s="378"/>
      <c r="AJ171" s="378"/>
      <c r="AK171" s="378"/>
      <c r="AL171" s="378"/>
      <c r="AM171" s="378"/>
      <c r="AN171" s="378"/>
      <c r="AO171" s="378"/>
      <c r="AP171" s="378"/>
      <c r="AQ171" s="378"/>
      <c r="AR171" s="378"/>
      <c r="AS171" s="378"/>
      <c r="AT171" s="378"/>
      <c r="AU171" s="378"/>
      <c r="AV171" s="378"/>
      <c r="AW171" s="378"/>
      <c r="AX171" s="378"/>
      <c r="AY171" s="378"/>
      <c r="AZ171" s="378"/>
      <c r="BA171" s="378"/>
      <c r="BB171" s="378"/>
      <c r="BC171" s="379"/>
      <c r="BD171" s="295" t="s">
        <v>998</v>
      </c>
      <c r="BS171" s="89" t="s">
        <v>366</v>
      </c>
      <c r="BT171" s="89" t="s">
        <v>367</v>
      </c>
      <c r="BU171" s="87" t="s">
        <v>1082</v>
      </c>
      <c r="BV171" s="90" t="s">
        <v>1080</v>
      </c>
      <c r="DH171" s="7" t="s">
        <v>1087</v>
      </c>
      <c r="DI171" s="7" t="s">
        <v>384</v>
      </c>
      <c r="DJ171" s="7" t="s">
        <v>396</v>
      </c>
      <c r="DK171" s="7" t="s">
        <v>397</v>
      </c>
      <c r="DL171" s="7" t="s">
        <v>395</v>
      </c>
      <c r="DQ171" s="7" t="s">
        <v>1082</v>
      </c>
      <c r="DR171" s="7" t="s">
        <v>1080</v>
      </c>
      <c r="EL171" s="822" t="s">
        <v>1086</v>
      </c>
      <c r="EM171" s="312" t="s">
        <v>1084</v>
      </c>
      <c r="EN171" s="268" t="s">
        <v>1085</v>
      </c>
      <c r="EO171" s="380">
        <v>15</v>
      </c>
      <c r="EP171" s="831">
        <v>35</v>
      </c>
      <c r="EQ171" s="802">
        <v>0</v>
      </c>
      <c r="ER171" s="833">
        <v>14</v>
      </c>
      <c r="ES171" s="833">
        <v>14</v>
      </c>
      <c r="ET171" s="836">
        <v>7</v>
      </c>
    </row>
    <row r="172" spans="1:152" ht="57" customHeight="1" x14ac:dyDescent="0.2">
      <c r="A172" s="271" t="s">
        <v>90</v>
      </c>
      <c r="B172" s="424" t="s">
        <v>91</v>
      </c>
      <c r="C172" s="425" t="s">
        <v>992</v>
      </c>
      <c r="D172" s="425"/>
      <c r="E172" s="8" t="s">
        <v>372</v>
      </c>
      <c r="F172" s="275" t="str">
        <f t="shared" si="100"/>
        <v>E3.P_B</v>
      </c>
      <c r="G172" s="276" t="s">
        <v>259</v>
      </c>
      <c r="H172" s="276" t="s">
        <v>397</v>
      </c>
      <c r="I172" s="452"/>
      <c r="J172" s="453" t="s">
        <v>61</v>
      </c>
      <c r="K172" s="368" t="str">
        <f t="shared" si="101"/>
        <v>E3.P_B.MR1</v>
      </c>
      <c r="L172" s="404" t="s">
        <v>367</v>
      </c>
      <c r="M172" s="405" t="s">
        <v>1073</v>
      </c>
      <c r="N172" s="281" t="s">
        <v>1074</v>
      </c>
      <c r="O172" s="281" t="s">
        <v>1075</v>
      </c>
      <c r="P172" s="371" t="s">
        <v>112</v>
      </c>
      <c r="Q172" s="372" t="str">
        <f t="shared" si="102"/>
        <v>E3.P_B.MR1-MP04-1</v>
      </c>
      <c r="R172" s="416" t="s">
        <v>1088</v>
      </c>
      <c r="S172" s="308" t="s">
        <v>1089</v>
      </c>
      <c r="T172" s="375">
        <v>140</v>
      </c>
      <c r="U172" s="376">
        <v>140</v>
      </c>
      <c r="V172" s="375" t="s">
        <v>102</v>
      </c>
      <c r="W172" s="289">
        <v>20</v>
      </c>
      <c r="X172" s="290">
        <v>40</v>
      </c>
      <c r="Y172" s="289">
        <v>40</v>
      </c>
      <c r="Z172" s="291">
        <v>40</v>
      </c>
      <c r="AA172" s="377"/>
      <c r="AB172" s="378"/>
      <c r="AC172" s="378"/>
      <c r="AD172" s="378"/>
      <c r="AE172" s="378"/>
      <c r="AF172" s="378"/>
      <c r="AG172" s="378"/>
      <c r="AH172" s="378"/>
      <c r="AI172" s="378"/>
      <c r="AJ172" s="378"/>
      <c r="AK172" s="378"/>
      <c r="AL172" s="378"/>
      <c r="AM172" s="378"/>
      <c r="AN172" s="378"/>
      <c r="AO172" s="378"/>
      <c r="AP172" s="378"/>
      <c r="AQ172" s="378"/>
      <c r="AR172" s="378"/>
      <c r="AS172" s="378"/>
      <c r="AT172" s="378"/>
      <c r="AU172" s="378"/>
      <c r="AV172" s="378"/>
      <c r="AW172" s="378"/>
      <c r="AX172" s="378"/>
      <c r="AY172" s="378"/>
      <c r="AZ172" s="378"/>
      <c r="BA172" s="378"/>
      <c r="BB172" s="378"/>
      <c r="BC172" s="379"/>
      <c r="BD172" s="295" t="s">
        <v>998</v>
      </c>
      <c r="BS172" s="89" t="s">
        <v>366</v>
      </c>
      <c r="BT172" s="89" t="s">
        <v>367</v>
      </c>
      <c r="BU172" s="87" t="s">
        <v>1086</v>
      </c>
      <c r="BV172" s="90" t="s">
        <v>1084</v>
      </c>
      <c r="DH172" s="7" t="s">
        <v>1091</v>
      </c>
      <c r="DI172" s="7" t="s">
        <v>384</v>
      </c>
      <c r="DJ172" s="7" t="s">
        <v>396</v>
      </c>
      <c r="DK172" s="7" t="s">
        <v>397</v>
      </c>
      <c r="DL172" s="7" t="s">
        <v>395</v>
      </c>
      <c r="DQ172" s="7" t="s">
        <v>1086</v>
      </c>
      <c r="DR172" s="7" t="s">
        <v>1084</v>
      </c>
      <c r="EL172" s="822" t="s">
        <v>1090</v>
      </c>
      <c r="EM172" s="312" t="s">
        <v>1088</v>
      </c>
      <c r="EN172" s="268" t="s">
        <v>1089</v>
      </c>
      <c r="EO172" s="380">
        <v>140</v>
      </c>
      <c r="EP172" s="380">
        <v>140</v>
      </c>
      <c r="EQ172" s="269">
        <v>20</v>
      </c>
      <c r="ER172" s="269">
        <v>40</v>
      </c>
      <c r="ES172" s="269">
        <v>40</v>
      </c>
      <c r="ET172" s="820">
        <v>40</v>
      </c>
    </row>
    <row r="173" spans="1:152" ht="60" customHeight="1" x14ac:dyDescent="0.2">
      <c r="A173" s="271" t="s">
        <v>90</v>
      </c>
      <c r="B173" s="424" t="s">
        <v>91</v>
      </c>
      <c r="C173" s="425" t="s">
        <v>992</v>
      </c>
      <c r="D173" s="425"/>
      <c r="E173" s="8" t="s">
        <v>372</v>
      </c>
      <c r="F173" s="275" t="str">
        <f t="shared" si="100"/>
        <v>E3.P_B</v>
      </c>
      <c r="G173" s="276" t="s">
        <v>259</v>
      </c>
      <c r="H173" s="276" t="s">
        <v>397</v>
      </c>
      <c r="I173" s="452"/>
      <c r="J173" s="453" t="s">
        <v>61</v>
      </c>
      <c r="K173" s="368" t="str">
        <f t="shared" si="101"/>
        <v>E3.P_B.MR1</v>
      </c>
      <c r="L173" s="404" t="s">
        <v>367</v>
      </c>
      <c r="M173" s="405" t="s">
        <v>1073</v>
      </c>
      <c r="N173" s="281" t="s">
        <v>1074</v>
      </c>
      <c r="O173" s="281" t="s">
        <v>1075</v>
      </c>
      <c r="P173" s="371" t="s">
        <v>122</v>
      </c>
      <c r="Q173" s="372" t="str">
        <f t="shared" si="102"/>
        <v>E3.P_B.MR1-MP05-1</v>
      </c>
      <c r="R173" s="416" t="s">
        <v>1092</v>
      </c>
      <c r="S173" s="308" t="s">
        <v>1093</v>
      </c>
      <c r="T173" s="375">
        <v>12</v>
      </c>
      <c r="U173" s="376">
        <v>30</v>
      </c>
      <c r="V173" s="375" t="s">
        <v>67</v>
      </c>
      <c r="W173" s="289">
        <v>2</v>
      </c>
      <c r="X173" s="290">
        <v>6</v>
      </c>
      <c r="Y173" s="289">
        <v>5</v>
      </c>
      <c r="Z173" s="291">
        <v>5</v>
      </c>
      <c r="AA173" s="377"/>
      <c r="AB173" s="378"/>
      <c r="AC173" s="378"/>
      <c r="AD173" s="378"/>
      <c r="AE173" s="378"/>
      <c r="AF173" s="378"/>
      <c r="AG173" s="378"/>
      <c r="AH173" s="378"/>
      <c r="AI173" s="378"/>
      <c r="AJ173" s="378"/>
      <c r="AK173" s="378"/>
      <c r="AL173" s="378"/>
      <c r="AM173" s="378"/>
      <c r="AN173" s="378"/>
      <c r="AO173" s="378"/>
      <c r="AP173" s="378"/>
      <c r="AQ173" s="378"/>
      <c r="AR173" s="378"/>
      <c r="AS173" s="378"/>
      <c r="AT173" s="378"/>
      <c r="AU173" s="378"/>
      <c r="AV173" s="378"/>
      <c r="AW173" s="378"/>
      <c r="AX173" s="378"/>
      <c r="AY173" s="378"/>
      <c r="AZ173" s="378"/>
      <c r="BA173" s="378"/>
      <c r="BB173" s="378"/>
      <c r="BC173" s="379"/>
      <c r="BD173" s="295" t="s">
        <v>998</v>
      </c>
      <c r="BS173" s="89" t="s">
        <v>366</v>
      </c>
      <c r="BT173" s="89" t="s">
        <v>367</v>
      </c>
      <c r="BU173" s="87" t="s">
        <v>1090</v>
      </c>
      <c r="BV173" s="90" t="s">
        <v>1088</v>
      </c>
      <c r="DH173" s="7" t="s">
        <v>1095</v>
      </c>
      <c r="DI173" s="7" t="s">
        <v>384</v>
      </c>
      <c r="DJ173" s="7" t="s">
        <v>396</v>
      </c>
      <c r="DK173" s="7" t="s">
        <v>397</v>
      </c>
      <c r="DL173" s="7" t="s">
        <v>395</v>
      </c>
      <c r="DQ173" s="7" t="s">
        <v>1090</v>
      </c>
      <c r="DR173" s="7" t="s">
        <v>1088</v>
      </c>
      <c r="EL173" s="822" t="s">
        <v>1094</v>
      </c>
      <c r="EM173" s="312" t="s">
        <v>1092</v>
      </c>
      <c r="EN173" s="268" t="s">
        <v>1093</v>
      </c>
      <c r="EO173" s="831">
        <v>12</v>
      </c>
      <c r="EP173" s="831">
        <v>30</v>
      </c>
      <c r="EQ173" s="803">
        <v>2</v>
      </c>
      <c r="ER173" s="803">
        <v>6</v>
      </c>
      <c r="ES173" s="803">
        <v>5</v>
      </c>
      <c r="ET173" s="830">
        <v>5</v>
      </c>
    </row>
    <row r="174" spans="1:152" ht="68.25" customHeight="1" x14ac:dyDescent="0.2">
      <c r="A174" s="271" t="s">
        <v>90</v>
      </c>
      <c r="B174" s="424" t="s">
        <v>91</v>
      </c>
      <c r="C174" s="425" t="s">
        <v>992</v>
      </c>
      <c r="D174" s="425"/>
      <c r="E174" s="8" t="s">
        <v>372</v>
      </c>
      <c r="F174" s="275" t="str">
        <f t="shared" si="100"/>
        <v>E3.P_B</v>
      </c>
      <c r="G174" s="276" t="s">
        <v>259</v>
      </c>
      <c r="H174" s="276" t="s">
        <v>397</v>
      </c>
      <c r="I174" s="452"/>
      <c r="J174" s="453" t="s">
        <v>61</v>
      </c>
      <c r="K174" s="368" t="str">
        <f t="shared" si="101"/>
        <v>E3.P_B.MR1</v>
      </c>
      <c r="L174" s="404" t="s">
        <v>367</v>
      </c>
      <c r="M174" s="405" t="s">
        <v>1073</v>
      </c>
      <c r="N174" s="281" t="s">
        <v>1074</v>
      </c>
      <c r="O174" s="281" t="s">
        <v>1075</v>
      </c>
      <c r="P174" s="371" t="s">
        <v>132</v>
      </c>
      <c r="Q174" s="372" t="str">
        <f t="shared" si="102"/>
        <v>E3.P_B.MR1-MP06-1</v>
      </c>
      <c r="R174" s="416" t="s">
        <v>1096</v>
      </c>
      <c r="S174" s="308" t="s">
        <v>1097</v>
      </c>
      <c r="T174" s="375">
        <v>4</v>
      </c>
      <c r="U174" s="376">
        <v>9</v>
      </c>
      <c r="V174" s="375" t="s">
        <v>67</v>
      </c>
      <c r="W174" s="289">
        <v>1</v>
      </c>
      <c r="X174" s="290">
        <v>2</v>
      </c>
      <c r="Y174" s="289">
        <v>1</v>
      </c>
      <c r="Z174" s="291">
        <v>1</v>
      </c>
      <c r="AA174" s="377"/>
      <c r="AB174" s="378"/>
      <c r="AC174" s="378"/>
      <c r="AD174" s="378"/>
      <c r="AE174" s="378"/>
      <c r="AF174" s="378"/>
      <c r="AG174" s="378"/>
      <c r="AH174" s="378"/>
      <c r="AI174" s="378"/>
      <c r="AJ174" s="378"/>
      <c r="AK174" s="378"/>
      <c r="AL174" s="378"/>
      <c r="AM174" s="378"/>
      <c r="AN174" s="378"/>
      <c r="AO174" s="378"/>
      <c r="AP174" s="378"/>
      <c r="AQ174" s="378"/>
      <c r="AR174" s="378"/>
      <c r="AS174" s="378"/>
      <c r="AT174" s="378"/>
      <c r="AU174" s="378"/>
      <c r="AV174" s="378"/>
      <c r="AW174" s="378"/>
      <c r="AX174" s="378"/>
      <c r="AY174" s="378"/>
      <c r="AZ174" s="378"/>
      <c r="BA174" s="378"/>
      <c r="BB174" s="378"/>
      <c r="BC174" s="379"/>
      <c r="BD174" s="295" t="s">
        <v>998</v>
      </c>
      <c r="BS174" s="89" t="s">
        <v>366</v>
      </c>
      <c r="BT174" s="89" t="s">
        <v>367</v>
      </c>
      <c r="BU174" s="87" t="s">
        <v>1094</v>
      </c>
      <c r="BV174" s="90" t="s">
        <v>1092</v>
      </c>
      <c r="DH174" s="7" t="s">
        <v>1099</v>
      </c>
      <c r="DI174" s="7" t="s">
        <v>384</v>
      </c>
      <c r="DJ174" s="7" t="s">
        <v>396</v>
      </c>
      <c r="DK174" s="7" t="s">
        <v>397</v>
      </c>
      <c r="DL174" s="7" t="s">
        <v>395</v>
      </c>
      <c r="DQ174" s="7" t="s">
        <v>1094</v>
      </c>
      <c r="DR174" s="7" t="s">
        <v>1092</v>
      </c>
      <c r="EL174" s="822" t="s">
        <v>1098</v>
      </c>
      <c r="EM174" s="312" t="s">
        <v>1096</v>
      </c>
      <c r="EN174" s="268" t="s">
        <v>1097</v>
      </c>
      <c r="EO174" s="831">
        <v>4</v>
      </c>
      <c r="EP174" s="831">
        <v>9</v>
      </c>
      <c r="EQ174" s="803">
        <v>1</v>
      </c>
      <c r="ER174" s="834">
        <v>3</v>
      </c>
      <c r="ES174" s="834">
        <v>5</v>
      </c>
      <c r="ET174" s="835">
        <v>0</v>
      </c>
    </row>
    <row r="175" spans="1:152" ht="54.75" customHeight="1" x14ac:dyDescent="0.2">
      <c r="A175" s="271" t="s">
        <v>90</v>
      </c>
      <c r="B175" s="424" t="s">
        <v>91</v>
      </c>
      <c r="C175" s="425" t="s">
        <v>992</v>
      </c>
      <c r="D175" s="425"/>
      <c r="E175" s="8" t="s">
        <v>372</v>
      </c>
      <c r="F175" s="275" t="str">
        <f t="shared" si="100"/>
        <v>E3.P_B</v>
      </c>
      <c r="G175" s="276" t="s">
        <v>259</v>
      </c>
      <c r="H175" s="276" t="s">
        <v>397</v>
      </c>
      <c r="I175" s="452"/>
      <c r="J175" s="453" t="s">
        <v>61</v>
      </c>
      <c r="K175" s="368" t="str">
        <f t="shared" si="101"/>
        <v>E3.P_B.MR1</v>
      </c>
      <c r="L175" s="404" t="s">
        <v>367</v>
      </c>
      <c r="M175" s="405" t="s">
        <v>1073</v>
      </c>
      <c r="N175" s="281" t="s">
        <v>1074</v>
      </c>
      <c r="O175" s="281" t="s">
        <v>1075</v>
      </c>
      <c r="P175" s="371" t="s">
        <v>142</v>
      </c>
      <c r="Q175" s="372" t="str">
        <f t="shared" si="102"/>
        <v>E3.P_B.MR1-MP07-1</v>
      </c>
      <c r="R175" s="416" t="s">
        <v>1100</v>
      </c>
      <c r="S175" s="308" t="s">
        <v>1101</v>
      </c>
      <c r="T175" s="375">
        <v>0</v>
      </c>
      <c r="U175" s="376">
        <v>5</v>
      </c>
      <c r="V175" s="375" t="s">
        <v>67</v>
      </c>
      <c r="W175" s="289">
        <v>0</v>
      </c>
      <c r="X175" s="290">
        <v>2</v>
      </c>
      <c r="Y175" s="289">
        <v>2</v>
      </c>
      <c r="Z175" s="291">
        <v>1</v>
      </c>
      <c r="AA175" s="377"/>
      <c r="AB175" s="378"/>
      <c r="AC175" s="378"/>
      <c r="AD175" s="378"/>
      <c r="AE175" s="378"/>
      <c r="AF175" s="378"/>
      <c r="AG175" s="378"/>
      <c r="AH175" s="378"/>
      <c r="AI175" s="378"/>
      <c r="AJ175" s="378"/>
      <c r="AK175" s="378"/>
      <c r="AL175" s="378"/>
      <c r="AM175" s="378"/>
      <c r="AN175" s="378"/>
      <c r="AO175" s="378"/>
      <c r="AP175" s="378"/>
      <c r="AQ175" s="378"/>
      <c r="AR175" s="378"/>
      <c r="AS175" s="378"/>
      <c r="AT175" s="378"/>
      <c r="AU175" s="378"/>
      <c r="AV175" s="378"/>
      <c r="AW175" s="378"/>
      <c r="AX175" s="378"/>
      <c r="AY175" s="378"/>
      <c r="AZ175" s="378"/>
      <c r="BA175" s="378"/>
      <c r="BB175" s="378"/>
      <c r="BC175" s="379"/>
      <c r="BD175" s="295" t="s">
        <v>998</v>
      </c>
      <c r="BS175" s="89" t="s">
        <v>366</v>
      </c>
      <c r="BT175" s="89" t="s">
        <v>367</v>
      </c>
      <c r="BU175" s="87" t="s">
        <v>1098</v>
      </c>
      <c r="BV175" s="90" t="s">
        <v>1096</v>
      </c>
      <c r="DH175" s="7" t="s">
        <v>1103</v>
      </c>
      <c r="DI175" s="7" t="s">
        <v>384</v>
      </c>
      <c r="DJ175" s="7" t="s">
        <v>396</v>
      </c>
      <c r="DK175" s="7" t="s">
        <v>397</v>
      </c>
      <c r="DL175" s="7" t="s">
        <v>395</v>
      </c>
      <c r="DQ175" s="7" t="s">
        <v>1098</v>
      </c>
      <c r="DR175" s="7" t="s">
        <v>1096</v>
      </c>
      <c r="EL175" s="822" t="s">
        <v>1102</v>
      </c>
      <c r="EM175" s="312" t="s">
        <v>1100</v>
      </c>
      <c r="EN175" s="268" t="s">
        <v>1101</v>
      </c>
      <c r="EO175" s="380">
        <v>0</v>
      </c>
      <c r="EP175" s="380">
        <v>5</v>
      </c>
      <c r="EQ175" s="269">
        <v>0</v>
      </c>
      <c r="ER175" s="839">
        <v>5</v>
      </c>
      <c r="ES175" s="839">
        <v>0</v>
      </c>
      <c r="ET175" s="840">
        <v>0</v>
      </c>
    </row>
    <row r="176" spans="1:152" ht="72" customHeight="1" x14ac:dyDescent="0.2">
      <c r="A176" s="271" t="s">
        <v>90</v>
      </c>
      <c r="B176" s="424" t="s">
        <v>91</v>
      </c>
      <c r="C176" s="425" t="s">
        <v>992</v>
      </c>
      <c r="D176" s="425"/>
      <c r="E176" s="8" t="s">
        <v>372</v>
      </c>
      <c r="F176" s="275" t="str">
        <f t="shared" si="100"/>
        <v>E3.P_B</v>
      </c>
      <c r="G176" s="276" t="s">
        <v>259</v>
      </c>
      <c r="H176" s="276" t="s">
        <v>397</v>
      </c>
      <c r="I176" s="452"/>
      <c r="J176" s="453" t="s">
        <v>61</v>
      </c>
      <c r="K176" s="368" t="str">
        <f t="shared" si="101"/>
        <v>E3.P_B.MR1</v>
      </c>
      <c r="L176" s="404" t="s">
        <v>367</v>
      </c>
      <c r="M176" s="405" t="s">
        <v>1073</v>
      </c>
      <c r="N176" s="281" t="s">
        <v>1074</v>
      </c>
      <c r="O176" s="281" t="s">
        <v>1075</v>
      </c>
      <c r="P176" s="371" t="s">
        <v>156</v>
      </c>
      <c r="Q176" s="372" t="str">
        <f t="shared" si="102"/>
        <v>E3.P_B.MR1-MP08-1</v>
      </c>
      <c r="R176" s="416" t="s">
        <v>1104</v>
      </c>
      <c r="S176" s="308" t="s">
        <v>1105</v>
      </c>
      <c r="T176" s="375">
        <v>64</v>
      </c>
      <c r="U176" s="376">
        <v>89</v>
      </c>
      <c r="V176" s="375" t="s">
        <v>67</v>
      </c>
      <c r="W176" s="289">
        <v>7</v>
      </c>
      <c r="X176" s="290">
        <v>6</v>
      </c>
      <c r="Y176" s="289">
        <v>6</v>
      </c>
      <c r="Z176" s="291">
        <v>6</v>
      </c>
      <c r="AA176" s="377"/>
      <c r="AB176" s="378"/>
      <c r="AC176" s="378"/>
      <c r="AD176" s="378"/>
      <c r="AE176" s="378"/>
      <c r="AF176" s="378"/>
      <c r="AG176" s="378"/>
      <c r="AH176" s="378"/>
      <c r="AI176" s="378"/>
      <c r="AJ176" s="378"/>
      <c r="AK176" s="378"/>
      <c r="AL176" s="378"/>
      <c r="AM176" s="378"/>
      <c r="AN176" s="378"/>
      <c r="AO176" s="378"/>
      <c r="AP176" s="378"/>
      <c r="AQ176" s="378"/>
      <c r="AR176" s="378"/>
      <c r="AS176" s="378"/>
      <c r="AT176" s="378"/>
      <c r="AU176" s="378"/>
      <c r="AV176" s="378"/>
      <c r="AW176" s="378"/>
      <c r="AX176" s="378"/>
      <c r="AY176" s="378"/>
      <c r="AZ176" s="378"/>
      <c r="BA176" s="378"/>
      <c r="BB176" s="378"/>
      <c r="BC176" s="379"/>
      <c r="BD176" s="295" t="s">
        <v>998</v>
      </c>
      <c r="BS176" s="89" t="s">
        <v>366</v>
      </c>
      <c r="BT176" s="89" t="s">
        <v>367</v>
      </c>
      <c r="BU176" s="87" t="s">
        <v>1102</v>
      </c>
      <c r="BV176" s="90" t="s">
        <v>1100</v>
      </c>
      <c r="DH176" s="7" t="s">
        <v>1107</v>
      </c>
      <c r="DI176" s="7" t="s">
        <v>384</v>
      </c>
      <c r="DJ176" s="7" t="s">
        <v>396</v>
      </c>
      <c r="DK176" s="7" t="s">
        <v>397</v>
      </c>
      <c r="DL176" s="7" t="s">
        <v>395</v>
      </c>
      <c r="DQ176" s="7" t="s">
        <v>1102</v>
      </c>
      <c r="DR176" s="7" t="s">
        <v>1100</v>
      </c>
      <c r="EL176" s="822" t="s">
        <v>1106</v>
      </c>
      <c r="EM176" s="312" t="s">
        <v>1104</v>
      </c>
      <c r="EN176" s="268" t="s">
        <v>1105</v>
      </c>
      <c r="EO176" s="831">
        <v>64</v>
      </c>
      <c r="EP176" s="831">
        <v>89</v>
      </c>
      <c r="EQ176" s="803">
        <v>7</v>
      </c>
      <c r="ER176" s="834">
        <v>8</v>
      </c>
      <c r="ES176" s="834">
        <v>9</v>
      </c>
      <c r="ET176" s="835">
        <v>1</v>
      </c>
      <c r="EV176" s="655"/>
    </row>
    <row r="177" spans="1:150" ht="61.5" customHeight="1" x14ac:dyDescent="0.2">
      <c r="A177" s="271" t="s">
        <v>90</v>
      </c>
      <c r="B177" s="424" t="s">
        <v>91</v>
      </c>
      <c r="C177" s="425" t="s">
        <v>992</v>
      </c>
      <c r="D177" s="425"/>
      <c r="E177" s="8" t="s">
        <v>372</v>
      </c>
      <c r="F177" s="275" t="str">
        <f t="shared" si="100"/>
        <v>E3.P_B</v>
      </c>
      <c r="G177" s="276" t="s">
        <v>259</v>
      </c>
      <c r="H177" s="276" t="s">
        <v>397</v>
      </c>
      <c r="I177" s="452"/>
      <c r="J177" s="453" t="s">
        <v>61</v>
      </c>
      <c r="K177" s="368" t="str">
        <f t="shared" si="101"/>
        <v>E3.P_B.MR1</v>
      </c>
      <c r="L177" s="404" t="s">
        <v>367</v>
      </c>
      <c r="M177" s="405" t="s">
        <v>1073</v>
      </c>
      <c r="N177" s="281" t="s">
        <v>1074</v>
      </c>
      <c r="O177" s="281" t="s">
        <v>1075</v>
      </c>
      <c r="P177" s="371" t="s">
        <v>515</v>
      </c>
      <c r="Q177" s="372" t="str">
        <f t="shared" si="102"/>
        <v>E3.P_B.MR1-MP09-1</v>
      </c>
      <c r="R177" s="416" t="s">
        <v>1108</v>
      </c>
      <c r="S177" s="308" t="s">
        <v>1109</v>
      </c>
      <c r="T177" s="375">
        <v>1</v>
      </c>
      <c r="U177" s="376">
        <v>6</v>
      </c>
      <c r="V177" s="375" t="s">
        <v>67</v>
      </c>
      <c r="W177" s="309">
        <v>0.5</v>
      </c>
      <c r="X177" s="324">
        <v>1.5</v>
      </c>
      <c r="Y177" s="309">
        <v>1.5</v>
      </c>
      <c r="Z177" s="310">
        <v>1.5</v>
      </c>
      <c r="AA177" s="377"/>
      <c r="AB177" s="378"/>
      <c r="AC177" s="378"/>
      <c r="AD177" s="378"/>
      <c r="AE177" s="378"/>
      <c r="AF177" s="378"/>
      <c r="AG177" s="378"/>
      <c r="AH177" s="378"/>
      <c r="AI177" s="378"/>
      <c r="AJ177" s="378"/>
      <c r="AK177" s="378"/>
      <c r="AL177" s="378"/>
      <c r="AM177" s="378"/>
      <c r="AN177" s="378"/>
      <c r="AO177" s="378"/>
      <c r="AP177" s="378"/>
      <c r="AQ177" s="378"/>
      <c r="AR177" s="378"/>
      <c r="AS177" s="378"/>
      <c r="AT177" s="378"/>
      <c r="AU177" s="378"/>
      <c r="AV177" s="378"/>
      <c r="AW177" s="378"/>
      <c r="AX177" s="378"/>
      <c r="AY177" s="378"/>
      <c r="AZ177" s="378"/>
      <c r="BA177" s="378"/>
      <c r="BB177" s="378"/>
      <c r="BC177" s="379"/>
      <c r="BD177" s="295" t="s">
        <v>998</v>
      </c>
      <c r="BS177" s="89" t="s">
        <v>366</v>
      </c>
      <c r="BT177" s="89" t="s">
        <v>367</v>
      </c>
      <c r="BU177" s="87" t="s">
        <v>1106</v>
      </c>
      <c r="BV177" s="90" t="s">
        <v>1104</v>
      </c>
      <c r="DH177" s="7" t="s">
        <v>1111</v>
      </c>
      <c r="DI177" s="7" t="s">
        <v>384</v>
      </c>
      <c r="DJ177" s="7" t="s">
        <v>396</v>
      </c>
      <c r="DK177" s="7" t="s">
        <v>397</v>
      </c>
      <c r="DL177" s="7" t="s">
        <v>395</v>
      </c>
      <c r="DQ177" s="7" t="s">
        <v>1106</v>
      </c>
      <c r="DR177" s="7" t="s">
        <v>1104</v>
      </c>
      <c r="EL177" s="822" t="s">
        <v>1110</v>
      </c>
      <c r="EM177" s="312" t="s">
        <v>1108</v>
      </c>
      <c r="EN177" s="268" t="s">
        <v>1109</v>
      </c>
      <c r="EO177" s="831">
        <v>1</v>
      </c>
      <c r="EP177" s="831">
        <v>6</v>
      </c>
      <c r="EQ177" s="802">
        <v>0.5</v>
      </c>
      <c r="ER177" s="802">
        <v>1.5</v>
      </c>
      <c r="ES177" s="802">
        <v>1.5</v>
      </c>
      <c r="ET177" s="825">
        <v>1.5</v>
      </c>
    </row>
    <row r="178" spans="1:150" ht="57.75" customHeight="1" x14ac:dyDescent="0.2">
      <c r="A178" s="271" t="s">
        <v>90</v>
      </c>
      <c r="B178" s="424" t="s">
        <v>91</v>
      </c>
      <c r="C178" s="425" t="s">
        <v>992</v>
      </c>
      <c r="D178" s="425"/>
      <c r="E178" s="8" t="s">
        <v>372</v>
      </c>
      <c r="F178" s="275" t="str">
        <f t="shared" si="100"/>
        <v>E3.P_B</v>
      </c>
      <c r="G178" s="276" t="s">
        <v>259</v>
      </c>
      <c r="H178" s="276" t="s">
        <v>397</v>
      </c>
      <c r="I178" s="452"/>
      <c r="J178" s="453" t="s">
        <v>61</v>
      </c>
      <c r="K178" s="368" t="str">
        <f t="shared" si="101"/>
        <v>E3.P_B.MR1</v>
      </c>
      <c r="L178" s="404" t="s">
        <v>367</v>
      </c>
      <c r="M178" s="405" t="s">
        <v>1073</v>
      </c>
      <c r="N178" s="281" t="s">
        <v>1074</v>
      </c>
      <c r="O178" s="281" t="s">
        <v>1075</v>
      </c>
      <c r="P178" s="371" t="s">
        <v>522</v>
      </c>
      <c r="Q178" s="372" t="str">
        <f t="shared" si="102"/>
        <v>E3.P_B.MR1-MP10-1</v>
      </c>
      <c r="R178" s="416" t="s">
        <v>1112</v>
      </c>
      <c r="S178" s="308" t="s">
        <v>1113</v>
      </c>
      <c r="T178" s="375">
        <v>0</v>
      </c>
      <c r="U178" s="376">
        <v>1</v>
      </c>
      <c r="V178" s="375" t="s">
        <v>67</v>
      </c>
      <c r="W178" s="289">
        <v>0</v>
      </c>
      <c r="X178" s="324">
        <v>0.5</v>
      </c>
      <c r="Y178" s="309">
        <v>0.5</v>
      </c>
      <c r="Z178" s="291">
        <v>0</v>
      </c>
      <c r="AA178" s="377"/>
      <c r="AB178" s="378"/>
      <c r="AC178" s="378"/>
      <c r="AD178" s="378"/>
      <c r="AE178" s="378"/>
      <c r="AF178" s="378"/>
      <c r="AG178" s="378"/>
      <c r="AH178" s="378"/>
      <c r="AI178" s="378"/>
      <c r="AJ178" s="378"/>
      <c r="AK178" s="378"/>
      <c r="AL178" s="378"/>
      <c r="AM178" s="378"/>
      <c r="AN178" s="378"/>
      <c r="AO178" s="378"/>
      <c r="AP178" s="378"/>
      <c r="AQ178" s="378"/>
      <c r="AR178" s="378"/>
      <c r="AS178" s="378"/>
      <c r="AT178" s="378"/>
      <c r="AU178" s="378"/>
      <c r="AV178" s="378"/>
      <c r="AW178" s="378"/>
      <c r="AX178" s="378"/>
      <c r="AY178" s="378"/>
      <c r="AZ178" s="378"/>
      <c r="BA178" s="378"/>
      <c r="BB178" s="378"/>
      <c r="BC178" s="379"/>
      <c r="BD178" s="295" t="s">
        <v>998</v>
      </c>
      <c r="BS178" s="89" t="s">
        <v>366</v>
      </c>
      <c r="BT178" s="89" t="s">
        <v>367</v>
      </c>
      <c r="BU178" s="87" t="s">
        <v>1110</v>
      </c>
      <c r="BV178" s="90" t="s">
        <v>1108</v>
      </c>
      <c r="DH178" s="7" t="s">
        <v>1115</v>
      </c>
      <c r="DI178" s="7" t="s">
        <v>384</v>
      </c>
      <c r="DJ178" s="7" t="s">
        <v>396</v>
      </c>
      <c r="DK178" s="7" t="s">
        <v>397</v>
      </c>
      <c r="DL178" s="7" t="s">
        <v>395</v>
      </c>
      <c r="DQ178" s="7" t="s">
        <v>1110</v>
      </c>
      <c r="DR178" s="7" t="s">
        <v>1108</v>
      </c>
      <c r="EL178" s="822" t="s">
        <v>1114</v>
      </c>
      <c r="EM178" s="312" t="s">
        <v>1112</v>
      </c>
      <c r="EN178" s="268" t="s">
        <v>1113</v>
      </c>
      <c r="EO178" s="380">
        <v>0</v>
      </c>
      <c r="EP178" s="380">
        <v>1</v>
      </c>
      <c r="EQ178" s="269">
        <v>0</v>
      </c>
      <c r="ER178" s="270">
        <v>0.5</v>
      </c>
      <c r="ES178" s="270">
        <v>0.5</v>
      </c>
      <c r="ET178" s="820">
        <v>0</v>
      </c>
    </row>
    <row r="179" spans="1:150" ht="72" customHeight="1" x14ac:dyDescent="0.2">
      <c r="A179" s="271" t="s">
        <v>90</v>
      </c>
      <c r="B179" s="424" t="s">
        <v>91</v>
      </c>
      <c r="C179" s="425" t="s">
        <v>992</v>
      </c>
      <c r="D179" s="425"/>
      <c r="E179" s="8" t="s">
        <v>372</v>
      </c>
      <c r="F179" s="275" t="str">
        <f t="shared" si="100"/>
        <v>E3.P_B</v>
      </c>
      <c r="G179" s="276" t="s">
        <v>259</v>
      </c>
      <c r="H179" s="276" t="s">
        <v>397</v>
      </c>
      <c r="I179" s="452"/>
      <c r="J179" s="453" t="s">
        <v>61</v>
      </c>
      <c r="K179" s="368" t="str">
        <f t="shared" si="101"/>
        <v>E3.P_B.MR1</v>
      </c>
      <c r="L179" s="404" t="s">
        <v>367</v>
      </c>
      <c r="M179" s="405" t="s">
        <v>1073</v>
      </c>
      <c r="N179" s="281" t="s">
        <v>1074</v>
      </c>
      <c r="O179" s="281" t="s">
        <v>1075</v>
      </c>
      <c r="P179" s="371" t="s">
        <v>610</v>
      </c>
      <c r="Q179" s="372" t="str">
        <f t="shared" si="102"/>
        <v>E3.P_B.MR1-MP11-1</v>
      </c>
      <c r="R179" s="416" t="s">
        <v>1116</v>
      </c>
      <c r="S179" s="308" t="s">
        <v>1117</v>
      </c>
      <c r="T179" s="375">
        <v>0</v>
      </c>
      <c r="U179" s="376">
        <v>1</v>
      </c>
      <c r="V179" s="375" t="s">
        <v>67</v>
      </c>
      <c r="W179" s="289">
        <v>0</v>
      </c>
      <c r="X179" s="290">
        <v>0</v>
      </c>
      <c r="Y179" s="289">
        <v>1</v>
      </c>
      <c r="Z179" s="291">
        <v>0</v>
      </c>
      <c r="AA179" s="377"/>
      <c r="AB179" s="378"/>
      <c r="AC179" s="378"/>
      <c r="AD179" s="378"/>
      <c r="AE179" s="378"/>
      <c r="AF179" s="378"/>
      <c r="AG179" s="378"/>
      <c r="AH179" s="378"/>
      <c r="AI179" s="378"/>
      <c r="AJ179" s="378"/>
      <c r="AK179" s="378"/>
      <c r="AL179" s="378"/>
      <c r="AM179" s="378"/>
      <c r="AN179" s="378"/>
      <c r="AO179" s="378"/>
      <c r="AP179" s="378"/>
      <c r="AQ179" s="378"/>
      <c r="AR179" s="378"/>
      <c r="AS179" s="378"/>
      <c r="AT179" s="378"/>
      <c r="AU179" s="378"/>
      <c r="AV179" s="378"/>
      <c r="AW179" s="378"/>
      <c r="AX179" s="378"/>
      <c r="AY179" s="378"/>
      <c r="AZ179" s="378"/>
      <c r="BA179" s="378"/>
      <c r="BB179" s="378"/>
      <c r="BC179" s="379"/>
      <c r="BD179" s="295" t="s">
        <v>998</v>
      </c>
      <c r="BS179" s="89" t="s">
        <v>366</v>
      </c>
      <c r="BT179" s="89" t="s">
        <v>367</v>
      </c>
      <c r="BU179" s="87" t="s">
        <v>1114</v>
      </c>
      <c r="BV179" s="90" t="s">
        <v>1112</v>
      </c>
      <c r="DH179" s="7" t="s">
        <v>1119</v>
      </c>
      <c r="DI179" s="7" t="s">
        <v>384</v>
      </c>
      <c r="DJ179" s="7" t="s">
        <v>396</v>
      </c>
      <c r="DK179" s="7" t="s">
        <v>397</v>
      </c>
      <c r="DL179" s="7" t="s">
        <v>395</v>
      </c>
      <c r="DQ179" s="7" t="s">
        <v>1114</v>
      </c>
      <c r="DR179" s="7" t="s">
        <v>1112</v>
      </c>
      <c r="EL179" s="822" t="s">
        <v>1118</v>
      </c>
      <c r="EM179" s="312" t="s">
        <v>1116</v>
      </c>
      <c r="EN179" s="268" t="s">
        <v>1117</v>
      </c>
      <c r="EO179" s="380">
        <v>0</v>
      </c>
      <c r="EP179" s="380">
        <v>1</v>
      </c>
      <c r="EQ179" s="269">
        <v>0</v>
      </c>
      <c r="ER179" s="833">
        <v>0.1</v>
      </c>
      <c r="ES179" s="833">
        <v>0.9</v>
      </c>
      <c r="ET179" s="820">
        <v>0</v>
      </c>
    </row>
    <row r="180" spans="1:150" ht="67.5" customHeight="1" x14ac:dyDescent="0.2">
      <c r="A180" s="271" t="s">
        <v>90</v>
      </c>
      <c r="B180" s="424" t="s">
        <v>91</v>
      </c>
      <c r="C180" s="425" t="s">
        <v>992</v>
      </c>
      <c r="D180" s="425"/>
      <c r="E180" s="8" t="s">
        <v>372</v>
      </c>
      <c r="F180" s="275" t="str">
        <f t="shared" si="100"/>
        <v>E3.P_B</v>
      </c>
      <c r="G180" s="276" t="s">
        <v>259</v>
      </c>
      <c r="H180" s="276" t="s">
        <v>397</v>
      </c>
      <c r="I180" s="452"/>
      <c r="J180" s="453" t="s">
        <v>61</v>
      </c>
      <c r="K180" s="368" t="str">
        <f t="shared" si="101"/>
        <v>E3.P_B.MR1</v>
      </c>
      <c r="L180" s="404" t="s">
        <v>367</v>
      </c>
      <c r="M180" s="405" t="s">
        <v>1073</v>
      </c>
      <c r="N180" s="281" t="s">
        <v>1074</v>
      </c>
      <c r="O180" s="281" t="s">
        <v>1075</v>
      </c>
      <c r="P180" s="371" t="s">
        <v>615</v>
      </c>
      <c r="Q180" s="372" t="str">
        <f t="shared" si="102"/>
        <v>E3.P_B.MR1-MP12-1</v>
      </c>
      <c r="R180" s="416" t="s">
        <v>1120</v>
      </c>
      <c r="S180" s="308" t="s">
        <v>906</v>
      </c>
      <c r="T180" s="375">
        <v>0</v>
      </c>
      <c r="U180" s="376">
        <v>1</v>
      </c>
      <c r="V180" s="375" t="s">
        <v>67</v>
      </c>
      <c r="W180" s="315">
        <v>0.02</v>
      </c>
      <c r="X180" s="324">
        <v>0.2</v>
      </c>
      <c r="Y180" s="315">
        <v>0.08</v>
      </c>
      <c r="Z180" s="310">
        <v>0.7</v>
      </c>
      <c r="AA180" s="377"/>
      <c r="AB180" s="378"/>
      <c r="AC180" s="378"/>
      <c r="AD180" s="378"/>
      <c r="AE180" s="378"/>
      <c r="AF180" s="378"/>
      <c r="AG180" s="378"/>
      <c r="AH180" s="378"/>
      <c r="AI180" s="378"/>
      <c r="AJ180" s="378"/>
      <c r="AK180" s="378"/>
      <c r="AL180" s="378"/>
      <c r="AM180" s="378"/>
      <c r="AN180" s="378"/>
      <c r="AO180" s="378"/>
      <c r="AP180" s="378"/>
      <c r="AQ180" s="378"/>
      <c r="AR180" s="378"/>
      <c r="AS180" s="378"/>
      <c r="AT180" s="378"/>
      <c r="AU180" s="378"/>
      <c r="AV180" s="378"/>
      <c r="AW180" s="378"/>
      <c r="AX180" s="378"/>
      <c r="AY180" s="378"/>
      <c r="AZ180" s="378"/>
      <c r="BA180" s="378"/>
      <c r="BB180" s="378"/>
      <c r="BC180" s="379"/>
      <c r="BD180" s="295" t="s">
        <v>998</v>
      </c>
      <c r="BS180" s="89" t="s">
        <v>366</v>
      </c>
      <c r="BT180" s="89" t="s">
        <v>367</v>
      </c>
      <c r="BU180" s="87" t="s">
        <v>1118</v>
      </c>
      <c r="BV180" s="90" t="s">
        <v>1116</v>
      </c>
      <c r="DH180" s="7" t="s">
        <v>1122</v>
      </c>
      <c r="DI180" s="7" t="s">
        <v>384</v>
      </c>
      <c r="DJ180" s="7" t="s">
        <v>396</v>
      </c>
      <c r="DK180" s="7" t="s">
        <v>397</v>
      </c>
      <c r="DL180" s="7" t="s">
        <v>395</v>
      </c>
      <c r="DQ180" s="7" t="s">
        <v>1118</v>
      </c>
      <c r="DR180" s="7" t="s">
        <v>1116</v>
      </c>
      <c r="EL180" s="822" t="s">
        <v>1121</v>
      </c>
      <c r="EM180" s="312" t="s">
        <v>1120</v>
      </c>
      <c r="EN180" s="268" t="s">
        <v>906</v>
      </c>
      <c r="EO180" s="380">
        <v>0</v>
      </c>
      <c r="EP180" s="380">
        <v>1</v>
      </c>
      <c r="EQ180" s="323">
        <v>0.02</v>
      </c>
      <c r="ER180" s="833">
        <v>0</v>
      </c>
      <c r="ES180" s="323">
        <v>0.08</v>
      </c>
      <c r="ET180" s="836">
        <v>0.9</v>
      </c>
    </row>
    <row r="181" spans="1:150" ht="45" customHeight="1" thickBot="1" x14ac:dyDescent="0.25">
      <c r="A181" s="271" t="s">
        <v>90</v>
      </c>
      <c r="B181" s="424" t="s">
        <v>91</v>
      </c>
      <c r="C181" s="425" t="s">
        <v>992</v>
      </c>
      <c r="D181" s="425"/>
      <c r="E181" s="8" t="s">
        <v>372</v>
      </c>
      <c r="F181" s="275" t="str">
        <f t="shared" si="100"/>
        <v>E3.P_B</v>
      </c>
      <c r="G181" s="276" t="s">
        <v>259</v>
      </c>
      <c r="H181" s="276" t="s">
        <v>397</v>
      </c>
      <c r="I181" s="458"/>
      <c r="J181" s="459" t="s">
        <v>61</v>
      </c>
      <c r="K181" s="460" t="str">
        <f t="shared" si="101"/>
        <v>E3.P_B.MR1</v>
      </c>
      <c r="L181" s="420" t="s">
        <v>367</v>
      </c>
      <c r="M181" s="421" t="s">
        <v>1073</v>
      </c>
      <c r="N181" s="382" t="s">
        <v>1074</v>
      </c>
      <c r="O181" s="382" t="s">
        <v>1075</v>
      </c>
      <c r="P181" s="385" t="s">
        <v>620</v>
      </c>
      <c r="Q181" s="386" t="str">
        <f t="shared" si="102"/>
        <v>E3.P_B.MR1-MP13-1</v>
      </c>
      <c r="R181" s="471" t="s">
        <v>1123</v>
      </c>
      <c r="S181" s="331" t="s">
        <v>1124</v>
      </c>
      <c r="T181" s="614">
        <v>0</v>
      </c>
      <c r="U181" s="615">
        <v>1</v>
      </c>
      <c r="V181" s="387" t="s">
        <v>67</v>
      </c>
      <c r="W181" s="347">
        <v>0</v>
      </c>
      <c r="X181" s="390">
        <v>0.35</v>
      </c>
      <c r="Y181" s="389">
        <v>0.35</v>
      </c>
      <c r="Z181" s="398">
        <v>0.3</v>
      </c>
      <c r="AA181" s="377"/>
      <c r="AB181" s="378"/>
      <c r="AC181" s="378"/>
      <c r="AD181" s="378"/>
      <c r="AE181" s="378"/>
      <c r="AF181" s="378"/>
      <c r="AG181" s="378"/>
      <c r="AH181" s="378"/>
      <c r="AI181" s="378"/>
      <c r="AJ181" s="378"/>
      <c r="AK181" s="378"/>
      <c r="AL181" s="378"/>
      <c r="AM181" s="378"/>
      <c r="AN181" s="378"/>
      <c r="AO181" s="378"/>
      <c r="AP181" s="378"/>
      <c r="AQ181" s="378"/>
      <c r="AR181" s="378"/>
      <c r="AS181" s="378"/>
      <c r="AT181" s="378"/>
      <c r="AU181" s="378"/>
      <c r="AV181" s="378"/>
      <c r="AW181" s="378"/>
      <c r="AX181" s="378"/>
      <c r="AY181" s="378"/>
      <c r="AZ181" s="378"/>
      <c r="BA181" s="378"/>
      <c r="BB181" s="378"/>
      <c r="BC181" s="379"/>
      <c r="BD181" s="295" t="s">
        <v>998</v>
      </c>
      <c r="BS181" s="89" t="s">
        <v>366</v>
      </c>
      <c r="BT181" s="89" t="s">
        <v>367</v>
      </c>
      <c r="BU181" s="87" t="s">
        <v>1121</v>
      </c>
      <c r="BV181" s="90" t="s">
        <v>1120</v>
      </c>
      <c r="DH181" s="7" t="s">
        <v>1126</v>
      </c>
      <c r="DI181" s="7" t="s">
        <v>384</v>
      </c>
      <c r="DJ181" s="7" t="s">
        <v>396</v>
      </c>
      <c r="DK181" s="7" t="s">
        <v>397</v>
      </c>
      <c r="DL181" s="7" t="s">
        <v>395</v>
      </c>
      <c r="DQ181" s="7" t="s">
        <v>1121</v>
      </c>
      <c r="DR181" s="7" t="s">
        <v>1120</v>
      </c>
      <c r="EL181" s="822" t="s">
        <v>1125</v>
      </c>
      <c r="EM181" s="312" t="s">
        <v>1123</v>
      </c>
      <c r="EN181" s="268" t="s">
        <v>1124</v>
      </c>
      <c r="EO181" s="380">
        <v>0</v>
      </c>
      <c r="EP181" s="380">
        <v>1</v>
      </c>
      <c r="EQ181" s="269">
        <v>0</v>
      </c>
      <c r="ER181" s="837">
        <v>0</v>
      </c>
      <c r="ES181" s="323">
        <v>0.35</v>
      </c>
      <c r="ET181" s="838">
        <v>0.65</v>
      </c>
    </row>
    <row r="182" spans="1:150" ht="90.75" customHeight="1" x14ac:dyDescent="0.2">
      <c r="A182" s="271" t="s">
        <v>90</v>
      </c>
      <c r="B182" s="424" t="s">
        <v>91</v>
      </c>
      <c r="C182" s="425" t="s">
        <v>992</v>
      </c>
      <c r="D182" s="426" t="s">
        <v>1127</v>
      </c>
      <c r="E182" s="3" t="s">
        <v>530</v>
      </c>
      <c r="F182" s="3" t="str">
        <f t="shared" si="100"/>
        <v>E3.P_C</v>
      </c>
      <c r="G182" s="474" t="s">
        <v>273</v>
      </c>
      <c r="H182" s="356" t="s">
        <v>408</v>
      </c>
      <c r="I182" s="449" t="s">
        <v>1128</v>
      </c>
      <c r="J182" s="450" t="s">
        <v>61</v>
      </c>
      <c r="K182" s="451" t="str">
        <f t="shared" si="101"/>
        <v>E3.P_C.MR1</v>
      </c>
      <c r="L182" s="355" t="s">
        <v>381</v>
      </c>
      <c r="M182" s="356" t="s">
        <v>1129</v>
      </c>
      <c r="N182" s="357">
        <v>99</v>
      </c>
      <c r="O182" s="241">
        <v>99</v>
      </c>
      <c r="P182" s="359" t="s">
        <v>64</v>
      </c>
      <c r="Q182" s="360" t="str">
        <f t="shared" si="102"/>
        <v>E3.P_C.MR1-MP01-1</v>
      </c>
      <c r="R182" s="412" t="s">
        <v>1130</v>
      </c>
      <c r="S182" s="362" t="s">
        <v>1131</v>
      </c>
      <c r="T182" s="363">
        <v>184</v>
      </c>
      <c r="U182" s="364">
        <v>300</v>
      </c>
      <c r="V182" s="363" t="s">
        <v>67</v>
      </c>
      <c r="W182" s="249">
        <v>0</v>
      </c>
      <c r="X182" s="365">
        <v>150</v>
      </c>
      <c r="Y182" s="249">
        <v>150</v>
      </c>
      <c r="Z182" s="366">
        <v>0</v>
      </c>
      <c r="AA182" s="585">
        <f>323616000+300000000-447232000</f>
        <v>176384000</v>
      </c>
      <c r="AB182" s="586">
        <f>103032235+896967765-1000000000</f>
        <v>0</v>
      </c>
      <c r="AC182" s="586">
        <v>1000000000</v>
      </c>
      <c r="AD182" s="586">
        <v>0</v>
      </c>
      <c r="AE182" s="586">
        <v>0</v>
      </c>
      <c r="AF182" s="586">
        <v>23616000</v>
      </c>
      <c r="AG182" s="586">
        <f t="shared" ref="AG182" si="123">SUM(AA182:AF182)</f>
        <v>1200000000</v>
      </c>
      <c r="AH182" s="586">
        <f t="shared" ref="AH182:AL182" si="124">AA182*1.035</f>
        <v>182557440</v>
      </c>
      <c r="AI182" s="586">
        <f t="shared" si="124"/>
        <v>0</v>
      </c>
      <c r="AJ182" s="586">
        <f t="shared" si="124"/>
        <v>1034999999.9999999</v>
      </c>
      <c r="AK182" s="586">
        <f t="shared" si="124"/>
        <v>0</v>
      </c>
      <c r="AL182" s="586">
        <f t="shared" si="124"/>
        <v>0</v>
      </c>
      <c r="AM182" s="586">
        <f>AF182*1.035</f>
        <v>24442559.999999996</v>
      </c>
      <c r="AN182" s="586">
        <f t="shared" ref="AN182" si="125">SUM(AH182:AM182)</f>
        <v>1242000000</v>
      </c>
      <c r="AO182" s="586">
        <f t="shared" ref="AO182:AS182" si="126">AH182*1.035</f>
        <v>188946950.39999998</v>
      </c>
      <c r="AP182" s="586">
        <f t="shared" si="126"/>
        <v>0</v>
      </c>
      <c r="AQ182" s="586">
        <f t="shared" si="126"/>
        <v>1071224999.9999998</v>
      </c>
      <c r="AR182" s="586">
        <f t="shared" si="126"/>
        <v>0</v>
      </c>
      <c r="AS182" s="586">
        <f t="shared" si="126"/>
        <v>0</v>
      </c>
      <c r="AT182" s="586">
        <f>AM182*1.035</f>
        <v>25298049.599999994</v>
      </c>
      <c r="AU182" s="586">
        <f t="shared" ref="AU182" si="127">SUM(AO182:AT182)</f>
        <v>1285469999.9999995</v>
      </c>
      <c r="AV182" s="586">
        <f t="shared" ref="AV182:AZ182" si="128">AO182*1.035</f>
        <v>195560093.66399997</v>
      </c>
      <c r="AW182" s="586">
        <f t="shared" si="128"/>
        <v>0</v>
      </c>
      <c r="AX182" s="586">
        <f t="shared" si="128"/>
        <v>1108717874.9999998</v>
      </c>
      <c r="AY182" s="586">
        <f t="shared" si="128"/>
        <v>0</v>
      </c>
      <c r="AZ182" s="586">
        <f t="shared" si="128"/>
        <v>0</v>
      </c>
      <c r="BA182" s="586">
        <f>AT182*1.035</f>
        <v>26183481.335999992</v>
      </c>
      <c r="BB182" s="586">
        <f t="shared" ref="BB182" si="129">SUM(AV182:BA182)</f>
        <v>1330461449.9999998</v>
      </c>
      <c r="BC182" s="654">
        <f t="shared" ref="BC182" si="130">+BB182+AU182+AN182+AG182</f>
        <v>5057931449.999999</v>
      </c>
      <c r="BD182" s="295" t="s">
        <v>998</v>
      </c>
      <c r="BS182" s="89" t="s">
        <v>366</v>
      </c>
      <c r="BT182" s="89" t="s">
        <v>367</v>
      </c>
      <c r="BU182" s="87" t="s">
        <v>1125</v>
      </c>
      <c r="BV182" s="90" t="s">
        <v>1123</v>
      </c>
      <c r="DH182" s="7" t="s">
        <v>1133</v>
      </c>
      <c r="DI182" s="7" t="s">
        <v>384</v>
      </c>
      <c r="DJ182" s="7" t="s">
        <v>396</v>
      </c>
      <c r="DK182" s="7" t="s">
        <v>397</v>
      </c>
      <c r="DL182" s="7" t="s">
        <v>395</v>
      </c>
      <c r="DQ182" s="7" t="s">
        <v>1125</v>
      </c>
      <c r="DR182" s="7" t="s">
        <v>1123</v>
      </c>
      <c r="EL182" s="822" t="s">
        <v>1132</v>
      </c>
      <c r="EM182" s="312" t="s">
        <v>1130</v>
      </c>
      <c r="EN182" s="268" t="s">
        <v>1131</v>
      </c>
      <c r="EO182" s="268">
        <v>184</v>
      </c>
      <c r="EP182" s="268">
        <v>300</v>
      </c>
      <c r="EQ182" s="269">
        <v>0</v>
      </c>
      <c r="ER182" s="834">
        <v>58</v>
      </c>
      <c r="ES182" s="834">
        <v>58</v>
      </c>
      <c r="ET182" s="820">
        <v>0</v>
      </c>
    </row>
    <row r="183" spans="1:150" ht="62.25" customHeight="1" x14ac:dyDescent="0.2">
      <c r="A183" s="271" t="s">
        <v>90</v>
      </c>
      <c r="B183" s="424" t="s">
        <v>91</v>
      </c>
      <c r="C183" s="425" t="s">
        <v>992</v>
      </c>
      <c r="D183" s="425"/>
      <c r="E183" s="8" t="s">
        <v>530</v>
      </c>
      <c r="F183" s="8" t="str">
        <f t="shared" si="100"/>
        <v>E3.P_C</v>
      </c>
      <c r="G183" s="405" t="s">
        <v>273</v>
      </c>
      <c r="H183" s="405" t="s">
        <v>408</v>
      </c>
      <c r="I183" s="452"/>
      <c r="J183" s="453" t="s">
        <v>61</v>
      </c>
      <c r="K183" s="368" t="str">
        <f t="shared" si="101"/>
        <v>E3.P_C.MR1</v>
      </c>
      <c r="L183" s="404" t="s">
        <v>381</v>
      </c>
      <c r="M183" s="405" t="s">
        <v>1129</v>
      </c>
      <c r="N183" s="369">
        <v>99</v>
      </c>
      <c r="O183" s="282">
        <v>99</v>
      </c>
      <c r="P183" s="371" t="s">
        <v>87</v>
      </c>
      <c r="Q183" s="372" t="str">
        <f t="shared" si="102"/>
        <v>E3.P_C.MR1-MP02-1</v>
      </c>
      <c r="R183" s="416" t="s">
        <v>1134</v>
      </c>
      <c r="S183" s="308" t="s">
        <v>1135</v>
      </c>
      <c r="T183" s="287">
        <v>1</v>
      </c>
      <c r="U183" s="288">
        <v>1</v>
      </c>
      <c r="V183" s="287" t="s">
        <v>102</v>
      </c>
      <c r="W183" s="315">
        <v>0.25</v>
      </c>
      <c r="X183" s="316">
        <v>0.25</v>
      </c>
      <c r="Y183" s="315">
        <v>0.25</v>
      </c>
      <c r="Z183" s="317">
        <v>0.25</v>
      </c>
      <c r="AA183" s="292"/>
      <c r="AB183" s="293"/>
      <c r="AC183" s="293"/>
      <c r="AD183" s="293"/>
      <c r="AE183" s="293"/>
      <c r="AF183" s="293"/>
      <c r="AG183" s="293"/>
      <c r="AH183" s="293"/>
      <c r="AI183" s="293"/>
      <c r="AJ183" s="293"/>
      <c r="AK183" s="293"/>
      <c r="AL183" s="293"/>
      <c r="AM183" s="293"/>
      <c r="AN183" s="293"/>
      <c r="AO183" s="293"/>
      <c r="AP183" s="293"/>
      <c r="AQ183" s="293"/>
      <c r="AR183" s="293"/>
      <c r="AS183" s="293"/>
      <c r="AT183" s="293"/>
      <c r="AU183" s="293"/>
      <c r="AV183" s="293"/>
      <c r="AW183" s="293"/>
      <c r="AX183" s="293"/>
      <c r="AY183" s="293"/>
      <c r="AZ183" s="293"/>
      <c r="BA183" s="293"/>
      <c r="BB183" s="293"/>
      <c r="BC183" s="294"/>
      <c r="BD183" s="295" t="s">
        <v>998</v>
      </c>
      <c r="BS183" s="84" t="s">
        <v>380</v>
      </c>
      <c r="BT183" s="84" t="s">
        <v>381</v>
      </c>
      <c r="BU183" s="87" t="s">
        <v>1132</v>
      </c>
      <c r="BV183" s="84" t="s">
        <v>1130</v>
      </c>
      <c r="DH183" s="7" t="s">
        <v>1137</v>
      </c>
      <c r="DI183" s="7" t="s">
        <v>384</v>
      </c>
      <c r="DJ183" s="7" t="s">
        <v>407</v>
      </c>
      <c r="DK183" s="7" t="s">
        <v>408</v>
      </c>
      <c r="DL183" s="7" t="s">
        <v>406</v>
      </c>
      <c r="DQ183" s="7" t="s">
        <v>1132</v>
      </c>
      <c r="DR183" s="7" t="s">
        <v>1130</v>
      </c>
      <c r="EL183" s="822" t="s">
        <v>1136</v>
      </c>
      <c r="EM183" s="312" t="s">
        <v>1134</v>
      </c>
      <c r="EN183" s="268" t="s">
        <v>1135</v>
      </c>
      <c r="EO183" s="268">
        <v>1</v>
      </c>
      <c r="EP183" s="268">
        <v>1</v>
      </c>
      <c r="EQ183" s="323">
        <v>0.25</v>
      </c>
      <c r="ER183" s="323">
        <v>0.25</v>
      </c>
      <c r="ES183" s="323">
        <v>0.25</v>
      </c>
      <c r="ET183" s="819">
        <v>0.25</v>
      </c>
    </row>
    <row r="184" spans="1:150" ht="69" customHeight="1" thickBot="1" x14ac:dyDescent="0.25">
      <c r="A184" s="271" t="s">
        <v>90</v>
      </c>
      <c r="B184" s="424" t="s">
        <v>91</v>
      </c>
      <c r="C184" s="425" t="s">
        <v>992</v>
      </c>
      <c r="D184" s="425"/>
      <c r="E184" s="8" t="s">
        <v>530</v>
      </c>
      <c r="F184" s="8" t="str">
        <f t="shared" si="100"/>
        <v>E3.P_C</v>
      </c>
      <c r="G184" s="405" t="s">
        <v>273</v>
      </c>
      <c r="H184" s="405" t="s">
        <v>408</v>
      </c>
      <c r="I184" s="458"/>
      <c r="J184" s="459" t="s">
        <v>61</v>
      </c>
      <c r="K184" s="460" t="str">
        <f t="shared" si="101"/>
        <v>E3.P_C.MR1</v>
      </c>
      <c r="L184" s="420" t="s">
        <v>381</v>
      </c>
      <c r="M184" s="421" t="s">
        <v>1129</v>
      </c>
      <c r="N184" s="383">
        <v>99</v>
      </c>
      <c r="O184" s="422">
        <v>99</v>
      </c>
      <c r="P184" s="385" t="s">
        <v>99</v>
      </c>
      <c r="Q184" s="386" t="str">
        <f t="shared" si="102"/>
        <v>E3.P_C.MR1-MP03-1</v>
      </c>
      <c r="R184" s="471" t="s">
        <v>1138</v>
      </c>
      <c r="S184" s="331" t="s">
        <v>1139</v>
      </c>
      <c r="T184" s="345">
        <v>3610</v>
      </c>
      <c r="U184" s="346">
        <v>3610</v>
      </c>
      <c r="V184" s="345" t="s">
        <v>102</v>
      </c>
      <c r="W184" s="347">
        <v>610</v>
      </c>
      <c r="X184" s="348">
        <v>1000</v>
      </c>
      <c r="Y184" s="347">
        <v>1000</v>
      </c>
      <c r="Z184" s="349">
        <v>1000</v>
      </c>
      <c r="AA184" s="292"/>
      <c r="AB184" s="293"/>
      <c r="AC184" s="293"/>
      <c r="AD184" s="293"/>
      <c r="AE184" s="293"/>
      <c r="AF184" s="293"/>
      <c r="AG184" s="293"/>
      <c r="AH184" s="293"/>
      <c r="AI184" s="293"/>
      <c r="AJ184" s="293"/>
      <c r="AK184" s="293"/>
      <c r="AL184" s="293"/>
      <c r="AM184" s="293"/>
      <c r="AN184" s="293"/>
      <c r="AO184" s="293"/>
      <c r="AP184" s="293"/>
      <c r="AQ184" s="293"/>
      <c r="AR184" s="293"/>
      <c r="AS184" s="293"/>
      <c r="AT184" s="293"/>
      <c r="AU184" s="293"/>
      <c r="AV184" s="293"/>
      <c r="AW184" s="293"/>
      <c r="AX184" s="293"/>
      <c r="AY184" s="293"/>
      <c r="AZ184" s="293"/>
      <c r="BA184" s="293"/>
      <c r="BB184" s="293"/>
      <c r="BC184" s="294"/>
      <c r="BD184" s="295" t="s">
        <v>998</v>
      </c>
      <c r="BS184" s="86" t="s">
        <v>380</v>
      </c>
      <c r="BT184" s="86" t="s">
        <v>381</v>
      </c>
      <c r="BU184" s="87" t="s">
        <v>1136</v>
      </c>
      <c r="BV184" s="84" t="s">
        <v>1134</v>
      </c>
      <c r="DH184" s="7" t="s">
        <v>1141</v>
      </c>
      <c r="DI184" s="7" t="s">
        <v>384</v>
      </c>
      <c r="DJ184" s="7" t="s">
        <v>407</v>
      </c>
      <c r="DK184" s="7" t="s">
        <v>408</v>
      </c>
      <c r="DL184" s="7" t="s">
        <v>406</v>
      </c>
      <c r="DQ184" s="7" t="s">
        <v>1136</v>
      </c>
      <c r="DR184" s="7" t="s">
        <v>1134</v>
      </c>
      <c r="EL184" s="822" t="s">
        <v>1140</v>
      </c>
      <c r="EM184" s="312" t="s">
        <v>1138</v>
      </c>
      <c r="EN184" s="268" t="s">
        <v>1139</v>
      </c>
      <c r="EO184" s="642">
        <v>3610</v>
      </c>
      <c r="EP184" s="804">
        <v>3610</v>
      </c>
      <c r="EQ184" s="803">
        <v>3610</v>
      </c>
      <c r="ER184" s="803">
        <v>3610</v>
      </c>
      <c r="ES184" s="803">
        <v>3610</v>
      </c>
      <c r="ET184" s="830">
        <v>3610</v>
      </c>
    </row>
    <row r="185" spans="1:150" ht="153.75" customHeight="1" thickBot="1" x14ac:dyDescent="0.25">
      <c r="A185" s="271" t="s">
        <v>90</v>
      </c>
      <c r="B185" s="424" t="s">
        <v>91</v>
      </c>
      <c r="C185" s="425" t="s">
        <v>992</v>
      </c>
      <c r="D185" s="425"/>
      <c r="E185" s="8" t="s">
        <v>530</v>
      </c>
      <c r="F185" s="8" t="str">
        <f t="shared" si="100"/>
        <v>E3.P_C</v>
      </c>
      <c r="G185" s="421" t="s">
        <v>273</v>
      </c>
      <c r="H185" s="421" t="s">
        <v>408</v>
      </c>
      <c r="I185" s="656" t="s">
        <v>1142</v>
      </c>
      <c r="J185" s="657" t="s">
        <v>167</v>
      </c>
      <c r="K185" s="658" t="str">
        <f t="shared" si="101"/>
        <v>E3.P_C.MR2</v>
      </c>
      <c r="L185" s="571" t="s">
        <v>393</v>
      </c>
      <c r="M185" s="572" t="s">
        <v>1143</v>
      </c>
      <c r="N185" s="580">
        <v>2</v>
      </c>
      <c r="O185" s="659">
        <v>5</v>
      </c>
      <c r="P185" s="237" t="s">
        <v>64</v>
      </c>
      <c r="Q185" s="25" t="str">
        <f t="shared" si="102"/>
        <v>E3.P_C.MR2-MP01-1</v>
      </c>
      <c r="R185" s="572" t="s">
        <v>1144</v>
      </c>
      <c r="S185" s="660" t="s">
        <v>305</v>
      </c>
      <c r="T185" s="246">
        <v>0</v>
      </c>
      <c r="U185" s="573">
        <v>1</v>
      </c>
      <c r="V185" s="246" t="s">
        <v>67</v>
      </c>
      <c r="W185" s="661">
        <v>0.25</v>
      </c>
      <c r="X185" s="662">
        <v>0.25</v>
      </c>
      <c r="Y185" s="661">
        <v>0.25</v>
      </c>
      <c r="Z185" s="663">
        <v>0.25</v>
      </c>
      <c r="AA185" s="292"/>
      <c r="AB185" s="293"/>
      <c r="AC185" s="293"/>
      <c r="AD185" s="293"/>
      <c r="AE185" s="293"/>
      <c r="AF185" s="293"/>
      <c r="AG185" s="293"/>
      <c r="AH185" s="293"/>
      <c r="AI185" s="293"/>
      <c r="AJ185" s="293"/>
      <c r="AK185" s="293"/>
      <c r="AL185" s="293"/>
      <c r="AM185" s="293"/>
      <c r="AN185" s="293"/>
      <c r="AO185" s="293"/>
      <c r="AP185" s="293"/>
      <c r="AQ185" s="293"/>
      <c r="AR185" s="293"/>
      <c r="AS185" s="293"/>
      <c r="AT185" s="293"/>
      <c r="AU185" s="293"/>
      <c r="AV185" s="293"/>
      <c r="AW185" s="293"/>
      <c r="AX185" s="293"/>
      <c r="AY185" s="293"/>
      <c r="AZ185" s="293"/>
      <c r="BA185" s="293"/>
      <c r="BB185" s="293"/>
      <c r="BC185" s="294"/>
      <c r="BD185" s="295" t="s">
        <v>998</v>
      </c>
      <c r="BS185" s="86" t="s">
        <v>380</v>
      </c>
      <c r="BT185" s="86" t="s">
        <v>381</v>
      </c>
      <c r="BU185" s="87" t="s">
        <v>1140</v>
      </c>
      <c r="BV185" s="84" t="s">
        <v>1138</v>
      </c>
      <c r="DH185" s="7" t="s">
        <v>1146</v>
      </c>
      <c r="DI185" s="7" t="s">
        <v>384</v>
      </c>
      <c r="DJ185" s="7" t="s">
        <v>407</v>
      </c>
      <c r="DK185" s="7" t="s">
        <v>408</v>
      </c>
      <c r="DL185" s="7" t="s">
        <v>406</v>
      </c>
      <c r="DQ185" s="7" t="s">
        <v>1140</v>
      </c>
      <c r="DR185" s="7" t="s">
        <v>1138</v>
      </c>
      <c r="EL185" s="822" t="s">
        <v>1145</v>
      </c>
      <c r="EM185" s="312" t="s">
        <v>1144</v>
      </c>
      <c r="EN185" s="268" t="s">
        <v>305</v>
      </c>
      <c r="EO185" s="268">
        <v>0</v>
      </c>
      <c r="EP185" s="268">
        <v>1</v>
      </c>
      <c r="EQ185" s="323">
        <v>0.25</v>
      </c>
      <c r="ER185" s="837">
        <v>0</v>
      </c>
      <c r="ES185" s="837">
        <v>0</v>
      </c>
      <c r="ET185" s="838">
        <v>0.75</v>
      </c>
    </row>
    <row r="186" spans="1:150" ht="118.5" customHeight="1" x14ac:dyDescent="0.2">
      <c r="A186" s="271" t="s">
        <v>90</v>
      </c>
      <c r="B186" s="424" t="s">
        <v>91</v>
      </c>
      <c r="C186" s="425" t="s">
        <v>992</v>
      </c>
      <c r="D186" s="426" t="s">
        <v>827</v>
      </c>
      <c r="E186" s="3" t="s">
        <v>641</v>
      </c>
      <c r="F186" s="427" t="str">
        <f t="shared" si="100"/>
        <v>E3.P_D</v>
      </c>
      <c r="G186" s="428" t="s">
        <v>284</v>
      </c>
      <c r="H186" s="473" t="s">
        <v>430</v>
      </c>
      <c r="I186" s="449" t="s">
        <v>1147</v>
      </c>
      <c r="J186" s="450" t="s">
        <v>61</v>
      </c>
      <c r="K186" s="451" t="str">
        <f t="shared" si="101"/>
        <v>E3.P_D.MR1</v>
      </c>
      <c r="L186" s="510" t="s">
        <v>404</v>
      </c>
      <c r="M186" s="511" t="s">
        <v>1148</v>
      </c>
      <c r="N186" s="475">
        <v>0</v>
      </c>
      <c r="O186" s="475">
        <v>6</v>
      </c>
      <c r="P186" s="638" t="s">
        <v>64</v>
      </c>
      <c r="Q186" s="477" t="str">
        <f t="shared" si="102"/>
        <v>E3.P_D.MR1-MP01-1</v>
      </c>
      <c r="R186" s="617" t="s">
        <v>1149</v>
      </c>
      <c r="S186" s="515" t="s">
        <v>1150</v>
      </c>
      <c r="T186" s="516">
        <v>0</v>
      </c>
      <c r="U186" s="517">
        <v>1</v>
      </c>
      <c r="V186" s="516" t="s">
        <v>67</v>
      </c>
      <c r="W186" s="620">
        <v>0.5</v>
      </c>
      <c r="X186" s="621">
        <v>0.5</v>
      </c>
      <c r="Y186" s="518">
        <v>0</v>
      </c>
      <c r="Z186" s="664">
        <v>0</v>
      </c>
      <c r="AA186" s="585">
        <f>99000000+100000000+110000000-163150612</f>
        <v>145849388</v>
      </c>
      <c r="AB186" s="586">
        <v>0</v>
      </c>
      <c r="AC186" s="586">
        <v>0</v>
      </c>
      <c r="AD186" s="586">
        <f>49000000+5150612</f>
        <v>54150612</v>
      </c>
      <c r="AE186" s="586">
        <v>0</v>
      </c>
      <c r="AF186" s="586"/>
      <c r="AG186" s="586">
        <f t="shared" ref="AG186" si="131">SUM(AA186:AF186)</f>
        <v>200000000</v>
      </c>
      <c r="AH186" s="586">
        <f>AA186*1.035</f>
        <v>150954116.57999998</v>
      </c>
      <c r="AI186" s="586">
        <f>AB186*1.035</f>
        <v>0</v>
      </c>
      <c r="AJ186" s="586">
        <v>293000000</v>
      </c>
      <c r="AK186" s="586">
        <f>AD186*1.035</f>
        <v>56045883.419999994</v>
      </c>
      <c r="AL186" s="586">
        <f t="shared" ref="AL186" si="132">AE186*1.035</f>
        <v>0</v>
      </c>
      <c r="AM186" s="586">
        <f>AF186*1.035</f>
        <v>0</v>
      </c>
      <c r="AN186" s="586">
        <f t="shared" ref="AN186" si="133">SUM(AH186:AM186)</f>
        <v>500000000</v>
      </c>
      <c r="AO186" s="586">
        <f t="shared" ref="AO186:AT186" si="134">+AH186</f>
        <v>150954116.57999998</v>
      </c>
      <c r="AP186" s="586">
        <f t="shared" si="134"/>
        <v>0</v>
      </c>
      <c r="AQ186" s="586">
        <f t="shared" si="134"/>
        <v>293000000</v>
      </c>
      <c r="AR186" s="586">
        <f t="shared" si="134"/>
        <v>56045883.419999994</v>
      </c>
      <c r="AS186" s="586">
        <f t="shared" si="134"/>
        <v>0</v>
      </c>
      <c r="AT186" s="586">
        <f t="shared" si="134"/>
        <v>0</v>
      </c>
      <c r="AU186" s="586">
        <f t="shared" ref="AU186" si="135">SUM(AO186:AT186)</f>
        <v>500000000</v>
      </c>
      <c r="AV186" s="586">
        <f t="shared" ref="AV186:BA186" si="136">+AA186</f>
        <v>145849388</v>
      </c>
      <c r="AW186" s="586">
        <f t="shared" si="136"/>
        <v>0</v>
      </c>
      <c r="AX186" s="586">
        <f t="shared" si="136"/>
        <v>0</v>
      </c>
      <c r="AY186" s="586">
        <f t="shared" si="136"/>
        <v>54150612</v>
      </c>
      <c r="AZ186" s="586">
        <f t="shared" si="136"/>
        <v>0</v>
      </c>
      <c r="BA186" s="586">
        <f t="shared" si="136"/>
        <v>0</v>
      </c>
      <c r="BB186" s="586">
        <f t="shared" ref="BB186" si="137">SUM(AV186:BA186)</f>
        <v>200000000</v>
      </c>
      <c r="BC186" s="654">
        <f t="shared" ref="BC186" si="138">+BB186+AU186+AN186+AG186</f>
        <v>1400000000</v>
      </c>
      <c r="BD186" s="295" t="s">
        <v>1151</v>
      </c>
      <c r="BS186" s="84" t="s">
        <v>392</v>
      </c>
      <c r="BT186" s="84" t="s">
        <v>393</v>
      </c>
      <c r="BU186" s="87" t="s">
        <v>1145</v>
      </c>
      <c r="BV186" s="84" t="s">
        <v>1144</v>
      </c>
      <c r="DH186" s="7" t="s">
        <v>1153</v>
      </c>
      <c r="DI186" s="7" t="s">
        <v>384</v>
      </c>
      <c r="DJ186" s="7" t="s">
        <v>407</v>
      </c>
      <c r="DK186" s="7" t="s">
        <v>408</v>
      </c>
      <c r="DL186" s="7" t="s">
        <v>417</v>
      </c>
      <c r="DQ186" s="7" t="s">
        <v>1145</v>
      </c>
      <c r="DR186" s="7" t="s">
        <v>1144</v>
      </c>
      <c r="EL186" s="828" t="s">
        <v>1152</v>
      </c>
      <c r="EM186" s="312" t="s">
        <v>1149</v>
      </c>
      <c r="EN186" s="268" t="s">
        <v>1150</v>
      </c>
      <c r="EO186" s="268">
        <v>0</v>
      </c>
      <c r="EP186" s="268">
        <v>1</v>
      </c>
      <c r="EQ186" s="270">
        <v>0.5</v>
      </c>
      <c r="ER186" s="809">
        <v>0.3</v>
      </c>
      <c r="ES186" s="809">
        <v>0.2</v>
      </c>
      <c r="ET186" s="820">
        <v>0</v>
      </c>
    </row>
    <row r="187" spans="1:150" ht="39.75" customHeight="1" x14ac:dyDescent="0.2">
      <c r="A187" s="271" t="s">
        <v>90</v>
      </c>
      <c r="B187" s="424" t="s">
        <v>91</v>
      </c>
      <c r="C187" s="425" t="s">
        <v>992</v>
      </c>
      <c r="D187" s="425"/>
      <c r="E187" s="8" t="s">
        <v>641</v>
      </c>
      <c r="F187" s="275" t="str">
        <f t="shared" si="100"/>
        <v>E3.P_D</v>
      </c>
      <c r="G187" s="448" t="s">
        <v>284</v>
      </c>
      <c r="H187" s="448" t="s">
        <v>430</v>
      </c>
      <c r="I187" s="452"/>
      <c r="J187" s="453" t="s">
        <v>61</v>
      </c>
      <c r="K187" s="368" t="str">
        <f t="shared" si="101"/>
        <v>E3.P_D.MR1</v>
      </c>
      <c r="L187" s="404" t="s">
        <v>404</v>
      </c>
      <c r="M187" s="405" t="s">
        <v>1148</v>
      </c>
      <c r="N187" s="487">
        <v>0</v>
      </c>
      <c r="O187" s="487">
        <v>6</v>
      </c>
      <c r="P187" s="476" t="s">
        <v>87</v>
      </c>
      <c r="Q187" s="488" t="str">
        <f t="shared" si="102"/>
        <v>E3.P_D.MR1-MP02-1</v>
      </c>
      <c r="R187" s="623" t="s">
        <v>1154</v>
      </c>
      <c r="S187" s="524" t="s">
        <v>1155</v>
      </c>
      <c r="T187" s="525">
        <v>0</v>
      </c>
      <c r="U187" s="535">
        <v>1</v>
      </c>
      <c r="V187" s="534" t="s">
        <v>67</v>
      </c>
      <c r="W187" s="527">
        <v>0.1</v>
      </c>
      <c r="X187" s="528">
        <v>0.3</v>
      </c>
      <c r="Y187" s="527">
        <v>0.3</v>
      </c>
      <c r="Z187" s="536">
        <v>0.3</v>
      </c>
      <c r="AA187" s="537"/>
      <c r="AB187" s="538"/>
      <c r="AC187" s="538"/>
      <c r="AD187" s="538"/>
      <c r="AE187" s="538"/>
      <c r="AF187" s="538"/>
      <c r="AG187" s="538"/>
      <c r="AH187" s="538"/>
      <c r="AI187" s="538"/>
      <c r="AJ187" s="538"/>
      <c r="AK187" s="538"/>
      <c r="AL187" s="538"/>
      <c r="AM187" s="538"/>
      <c r="AN187" s="538"/>
      <c r="AO187" s="538"/>
      <c r="AP187" s="538"/>
      <c r="AQ187" s="538"/>
      <c r="AR187" s="538"/>
      <c r="AS187" s="538"/>
      <c r="AT187" s="538"/>
      <c r="AU187" s="538"/>
      <c r="AV187" s="538"/>
      <c r="AW187" s="538"/>
      <c r="AX187" s="538"/>
      <c r="AY187" s="538"/>
      <c r="AZ187" s="538"/>
      <c r="BA187" s="538"/>
      <c r="BB187" s="538"/>
      <c r="BC187" s="539"/>
      <c r="BD187" s="295" t="s">
        <v>1151</v>
      </c>
      <c r="BS187" s="84" t="s">
        <v>403</v>
      </c>
      <c r="BT187" s="84" t="s">
        <v>404</v>
      </c>
      <c r="BU187" s="87" t="s">
        <v>1152</v>
      </c>
      <c r="BV187" s="84" t="s">
        <v>1149</v>
      </c>
      <c r="DH187" s="7" t="s">
        <v>1157</v>
      </c>
      <c r="DI187" s="7" t="s">
        <v>384</v>
      </c>
      <c r="DJ187" s="7" t="s">
        <v>429</v>
      </c>
      <c r="DK187" s="7" t="s">
        <v>430</v>
      </c>
      <c r="DL187" s="7" t="s">
        <v>428</v>
      </c>
      <c r="DQ187" s="7" t="s">
        <v>1152</v>
      </c>
      <c r="DR187" s="7" t="s">
        <v>1149</v>
      </c>
      <c r="EL187" s="828" t="s">
        <v>1156</v>
      </c>
      <c r="EM187" s="312" t="s">
        <v>1154</v>
      </c>
      <c r="EN187" s="268" t="s">
        <v>1155</v>
      </c>
      <c r="EO187" s="268">
        <v>0</v>
      </c>
      <c r="EP187" s="270">
        <v>100</v>
      </c>
      <c r="EQ187" s="270">
        <v>10</v>
      </c>
      <c r="ER187" s="270">
        <v>30</v>
      </c>
      <c r="ES187" s="270">
        <v>30</v>
      </c>
      <c r="ET187" s="823">
        <v>30</v>
      </c>
    </row>
    <row r="188" spans="1:150" ht="40.5" customHeight="1" x14ac:dyDescent="0.2">
      <c r="A188" s="271" t="s">
        <v>90</v>
      </c>
      <c r="B188" s="424" t="s">
        <v>91</v>
      </c>
      <c r="C188" s="425" t="s">
        <v>992</v>
      </c>
      <c r="D188" s="425"/>
      <c r="E188" s="8" t="s">
        <v>641</v>
      </c>
      <c r="F188" s="275" t="str">
        <f t="shared" si="100"/>
        <v>E3.P_D</v>
      </c>
      <c r="G188" s="448" t="s">
        <v>284</v>
      </c>
      <c r="H188" s="448" t="s">
        <v>430</v>
      </c>
      <c r="I188" s="452"/>
      <c r="J188" s="453" t="s">
        <v>61</v>
      </c>
      <c r="K188" s="368" t="str">
        <f t="shared" si="101"/>
        <v>E3.P_D.MR1</v>
      </c>
      <c r="L188" s="404" t="s">
        <v>404</v>
      </c>
      <c r="M188" s="405" t="s">
        <v>1148</v>
      </c>
      <c r="N188" s="487">
        <v>0</v>
      </c>
      <c r="O188" s="487">
        <v>6</v>
      </c>
      <c r="P188" s="476" t="s">
        <v>99</v>
      </c>
      <c r="Q188" s="488" t="str">
        <f t="shared" si="102"/>
        <v>E3.P_D.MR1-MP03-1</v>
      </c>
      <c r="R188" s="623" t="s">
        <v>1158</v>
      </c>
      <c r="S188" s="524" t="s">
        <v>1159</v>
      </c>
      <c r="T188" s="665">
        <v>0</v>
      </c>
      <c r="U188" s="666">
        <v>1</v>
      </c>
      <c r="V188" s="665" t="s">
        <v>67</v>
      </c>
      <c r="W188" s="529">
        <v>0</v>
      </c>
      <c r="X188" s="528">
        <v>0.5</v>
      </c>
      <c r="Y188" s="527">
        <v>0.5</v>
      </c>
      <c r="Z188" s="530">
        <v>0</v>
      </c>
      <c r="AA188" s="667"/>
      <c r="AB188" s="668"/>
      <c r="AC188" s="668"/>
      <c r="AD188" s="668"/>
      <c r="AE188" s="668"/>
      <c r="AF188" s="668"/>
      <c r="AG188" s="668"/>
      <c r="AH188" s="668"/>
      <c r="AI188" s="668"/>
      <c r="AJ188" s="668"/>
      <c r="AK188" s="668"/>
      <c r="AL188" s="668"/>
      <c r="AM188" s="668"/>
      <c r="AN188" s="668"/>
      <c r="AO188" s="668"/>
      <c r="AP188" s="668"/>
      <c r="AQ188" s="668"/>
      <c r="AR188" s="668"/>
      <c r="AS188" s="668"/>
      <c r="AT188" s="668"/>
      <c r="AU188" s="668"/>
      <c r="AV188" s="668"/>
      <c r="AW188" s="668"/>
      <c r="AX188" s="668"/>
      <c r="AY188" s="668"/>
      <c r="AZ188" s="668"/>
      <c r="BA188" s="668"/>
      <c r="BB188" s="668"/>
      <c r="BC188" s="669"/>
      <c r="BD188" s="295" t="s">
        <v>1151</v>
      </c>
      <c r="BS188" s="86" t="s">
        <v>403</v>
      </c>
      <c r="BT188" s="86" t="s">
        <v>404</v>
      </c>
      <c r="BU188" s="87" t="s">
        <v>1156</v>
      </c>
      <c r="BV188" s="84" t="s">
        <v>1154</v>
      </c>
      <c r="DH188" s="7" t="s">
        <v>1161</v>
      </c>
      <c r="DI188" s="7" t="s">
        <v>384</v>
      </c>
      <c r="DJ188" s="7" t="s">
        <v>429</v>
      </c>
      <c r="DK188" s="7" t="s">
        <v>430</v>
      </c>
      <c r="DL188" s="7" t="s">
        <v>428</v>
      </c>
      <c r="DQ188" s="7" t="s">
        <v>1156</v>
      </c>
      <c r="DR188" s="7" t="s">
        <v>1154</v>
      </c>
      <c r="EL188" s="828" t="s">
        <v>1160</v>
      </c>
      <c r="EM188" s="312" t="s">
        <v>1158</v>
      </c>
      <c r="EN188" s="268" t="s">
        <v>1159</v>
      </c>
      <c r="EO188" s="380">
        <v>0</v>
      </c>
      <c r="EP188" s="380">
        <v>1</v>
      </c>
      <c r="EQ188" s="269">
        <v>0</v>
      </c>
      <c r="ER188" s="809">
        <v>0.3</v>
      </c>
      <c r="ES188" s="809">
        <v>0.4</v>
      </c>
      <c r="ET188" s="818">
        <v>0.3</v>
      </c>
    </row>
    <row r="189" spans="1:150" ht="36" customHeight="1" x14ac:dyDescent="0.2">
      <c r="A189" s="271" t="s">
        <v>90</v>
      </c>
      <c r="B189" s="424" t="s">
        <v>91</v>
      </c>
      <c r="C189" s="425" t="s">
        <v>992</v>
      </c>
      <c r="D189" s="425"/>
      <c r="E189" s="8" t="s">
        <v>641</v>
      </c>
      <c r="F189" s="275" t="str">
        <f t="shared" si="100"/>
        <v>E3.P_D</v>
      </c>
      <c r="G189" s="448" t="s">
        <v>284</v>
      </c>
      <c r="H189" s="448" t="s">
        <v>430</v>
      </c>
      <c r="I189" s="452"/>
      <c r="J189" s="453" t="s">
        <v>61</v>
      </c>
      <c r="K189" s="368" t="str">
        <f t="shared" si="101"/>
        <v>E3.P_D.MR1</v>
      </c>
      <c r="L189" s="404" t="s">
        <v>404</v>
      </c>
      <c r="M189" s="405" t="s">
        <v>1148</v>
      </c>
      <c r="N189" s="487">
        <v>0</v>
      </c>
      <c r="O189" s="487">
        <v>6</v>
      </c>
      <c r="P189" s="476" t="s">
        <v>112</v>
      </c>
      <c r="Q189" s="488" t="str">
        <f t="shared" si="102"/>
        <v>E3.P_D.MR1-MP04-1</v>
      </c>
      <c r="R189" s="623" t="s">
        <v>1162</v>
      </c>
      <c r="S189" s="524" t="s">
        <v>1163</v>
      </c>
      <c r="T189" s="665">
        <v>0</v>
      </c>
      <c r="U189" s="666">
        <v>2</v>
      </c>
      <c r="V189" s="665" t="s">
        <v>67</v>
      </c>
      <c r="W189" s="527">
        <v>0.5</v>
      </c>
      <c r="X189" s="670">
        <v>1</v>
      </c>
      <c r="Y189" s="527">
        <v>0.5</v>
      </c>
      <c r="Z189" s="530">
        <v>0</v>
      </c>
      <c r="AA189" s="667"/>
      <c r="AB189" s="668"/>
      <c r="AC189" s="668"/>
      <c r="AD189" s="668"/>
      <c r="AE189" s="668"/>
      <c r="AF189" s="668"/>
      <c r="AG189" s="668"/>
      <c r="AH189" s="668"/>
      <c r="AI189" s="668"/>
      <c r="AJ189" s="668"/>
      <c r="AK189" s="668"/>
      <c r="AL189" s="668"/>
      <c r="AM189" s="668"/>
      <c r="AN189" s="668"/>
      <c r="AO189" s="668"/>
      <c r="AP189" s="668"/>
      <c r="AQ189" s="668"/>
      <c r="AR189" s="668"/>
      <c r="AS189" s="668"/>
      <c r="AT189" s="668"/>
      <c r="AU189" s="668"/>
      <c r="AV189" s="668"/>
      <c r="AW189" s="668"/>
      <c r="AX189" s="668"/>
      <c r="AY189" s="668"/>
      <c r="AZ189" s="668"/>
      <c r="BA189" s="668"/>
      <c r="BB189" s="668"/>
      <c r="BC189" s="669"/>
      <c r="BD189" s="295" t="s">
        <v>1151</v>
      </c>
      <c r="BS189" s="86" t="s">
        <v>403</v>
      </c>
      <c r="BT189" s="86" t="s">
        <v>404</v>
      </c>
      <c r="BU189" s="87" t="s">
        <v>1160</v>
      </c>
      <c r="BV189" s="84" t="s">
        <v>1158</v>
      </c>
      <c r="DH189" s="7" t="s">
        <v>1165</v>
      </c>
      <c r="DI189" s="7" t="s">
        <v>384</v>
      </c>
      <c r="DJ189" s="7" t="s">
        <v>429</v>
      </c>
      <c r="DK189" s="7" t="s">
        <v>430</v>
      </c>
      <c r="DL189" s="7" t="s">
        <v>428</v>
      </c>
      <c r="DQ189" s="7" t="s">
        <v>1160</v>
      </c>
      <c r="DR189" s="7" t="s">
        <v>1158</v>
      </c>
      <c r="EL189" s="828" t="s">
        <v>1164</v>
      </c>
      <c r="EM189" s="312" t="s">
        <v>1162</v>
      </c>
      <c r="EN189" s="268" t="s">
        <v>1163</v>
      </c>
      <c r="EO189" s="380">
        <v>0</v>
      </c>
      <c r="EP189" s="380">
        <v>2</v>
      </c>
      <c r="EQ189" s="270">
        <v>0</v>
      </c>
      <c r="ER189" s="809">
        <v>0.5</v>
      </c>
      <c r="ES189" s="270">
        <v>1</v>
      </c>
      <c r="ET189" s="818">
        <v>0.5</v>
      </c>
    </row>
    <row r="190" spans="1:150" ht="50.25" customHeight="1" thickBot="1" x14ac:dyDescent="0.25">
      <c r="A190" s="271" t="s">
        <v>90</v>
      </c>
      <c r="B190" s="424" t="s">
        <v>91</v>
      </c>
      <c r="C190" s="425" t="s">
        <v>992</v>
      </c>
      <c r="D190" s="425"/>
      <c r="E190" s="8" t="s">
        <v>641</v>
      </c>
      <c r="F190" s="275" t="str">
        <f t="shared" si="100"/>
        <v>E3.P_D</v>
      </c>
      <c r="G190" s="448" t="s">
        <v>284</v>
      </c>
      <c r="H190" s="448" t="s">
        <v>430</v>
      </c>
      <c r="I190" s="452"/>
      <c r="J190" s="453" t="s">
        <v>61</v>
      </c>
      <c r="K190" s="368" t="str">
        <f t="shared" si="101"/>
        <v>E3.P_D.MR1</v>
      </c>
      <c r="L190" s="404" t="s">
        <v>404</v>
      </c>
      <c r="M190" s="405" t="s">
        <v>1148</v>
      </c>
      <c r="N190" s="487">
        <v>0</v>
      </c>
      <c r="O190" s="487">
        <v>6</v>
      </c>
      <c r="P190" s="649" t="s">
        <v>122</v>
      </c>
      <c r="Q190" s="488" t="str">
        <f t="shared" si="102"/>
        <v>E3.P_D.MR1-MP05-1</v>
      </c>
      <c r="R190" s="623" t="s">
        <v>1166</v>
      </c>
      <c r="S190" s="524" t="s">
        <v>1167</v>
      </c>
      <c r="T190" s="665">
        <v>0</v>
      </c>
      <c r="U190" s="666">
        <v>1</v>
      </c>
      <c r="V190" s="665" t="s">
        <v>67</v>
      </c>
      <c r="W190" s="540">
        <v>0.25</v>
      </c>
      <c r="X190" s="541">
        <v>0.25</v>
      </c>
      <c r="Y190" s="540">
        <v>0.25</v>
      </c>
      <c r="Z190" s="542">
        <v>0.25</v>
      </c>
      <c r="AA190" s="667"/>
      <c r="AB190" s="668"/>
      <c r="AC190" s="668"/>
      <c r="AD190" s="668"/>
      <c r="AE190" s="668"/>
      <c r="AF190" s="668"/>
      <c r="AG190" s="668"/>
      <c r="AH190" s="668"/>
      <c r="AI190" s="668"/>
      <c r="AJ190" s="668"/>
      <c r="AK190" s="668"/>
      <c r="AL190" s="668"/>
      <c r="AM190" s="668"/>
      <c r="AN190" s="668"/>
      <c r="AO190" s="668"/>
      <c r="AP190" s="668"/>
      <c r="AQ190" s="668"/>
      <c r="AR190" s="668"/>
      <c r="AS190" s="668"/>
      <c r="AT190" s="668"/>
      <c r="AU190" s="668"/>
      <c r="AV190" s="668"/>
      <c r="AW190" s="668"/>
      <c r="AX190" s="668"/>
      <c r="AY190" s="668"/>
      <c r="AZ190" s="668"/>
      <c r="BA190" s="668"/>
      <c r="BB190" s="668"/>
      <c r="BC190" s="669"/>
      <c r="BD190" s="295" t="s">
        <v>1151</v>
      </c>
      <c r="BS190" s="86" t="s">
        <v>403</v>
      </c>
      <c r="BT190" s="86" t="s">
        <v>404</v>
      </c>
      <c r="BU190" s="87" t="s">
        <v>1164</v>
      </c>
      <c r="BV190" s="84" t="s">
        <v>1162</v>
      </c>
      <c r="DH190" s="7" t="s">
        <v>1169</v>
      </c>
      <c r="DI190" s="7" t="s">
        <v>384</v>
      </c>
      <c r="DJ190" s="7" t="s">
        <v>429</v>
      </c>
      <c r="DK190" s="7" t="s">
        <v>430</v>
      </c>
      <c r="DL190" s="7" t="s">
        <v>428</v>
      </c>
      <c r="DQ190" s="7" t="s">
        <v>1164</v>
      </c>
      <c r="DR190" s="7" t="s">
        <v>1162</v>
      </c>
      <c r="EL190" s="828" t="s">
        <v>1168</v>
      </c>
      <c r="EM190" s="312" t="s">
        <v>1166</v>
      </c>
      <c r="EN190" s="268" t="s">
        <v>1167</v>
      </c>
      <c r="EO190" s="380">
        <v>0</v>
      </c>
      <c r="EP190" s="380">
        <v>1</v>
      </c>
      <c r="EQ190" s="323">
        <v>0.25</v>
      </c>
      <c r="ER190" s="323">
        <v>0.25</v>
      </c>
      <c r="ES190" s="323">
        <v>0.25</v>
      </c>
      <c r="ET190" s="819">
        <v>0.25</v>
      </c>
    </row>
    <row r="191" spans="1:150" ht="34.5" customHeight="1" thickBot="1" x14ac:dyDescent="0.25">
      <c r="A191" s="271" t="s">
        <v>90</v>
      </c>
      <c r="B191" s="424" t="s">
        <v>91</v>
      </c>
      <c r="C191" s="425" t="s">
        <v>992</v>
      </c>
      <c r="D191" s="425"/>
      <c r="E191" s="8" t="s">
        <v>641</v>
      </c>
      <c r="F191" s="275" t="str">
        <f t="shared" si="100"/>
        <v>E3.P_D</v>
      </c>
      <c r="G191" s="565" t="s">
        <v>284</v>
      </c>
      <c r="H191" s="565" t="s">
        <v>430</v>
      </c>
      <c r="I191" s="458"/>
      <c r="J191" s="459" t="s">
        <v>61</v>
      </c>
      <c r="K191" s="460" t="str">
        <f t="shared" si="101"/>
        <v>E3.P_D.MR1</v>
      </c>
      <c r="L191" s="420" t="s">
        <v>404</v>
      </c>
      <c r="M191" s="421" t="s">
        <v>1148</v>
      </c>
      <c r="N191" s="493">
        <v>0</v>
      </c>
      <c r="O191" s="493">
        <v>6</v>
      </c>
      <c r="P191" s="671" t="s">
        <v>132</v>
      </c>
      <c r="Q191" s="494" t="str">
        <f t="shared" si="102"/>
        <v>E3.P_D.MR1-MP06-1</v>
      </c>
      <c r="R191" s="624" t="s">
        <v>1170</v>
      </c>
      <c r="S191" s="547" t="s">
        <v>1171</v>
      </c>
      <c r="T191" s="672">
        <v>435</v>
      </c>
      <c r="U191" s="673">
        <v>450</v>
      </c>
      <c r="V191" s="672" t="s">
        <v>67</v>
      </c>
      <c r="W191" s="550">
        <v>3</v>
      </c>
      <c r="X191" s="551">
        <v>7</v>
      </c>
      <c r="Y191" s="550">
        <v>3</v>
      </c>
      <c r="Z191" s="552">
        <v>2</v>
      </c>
      <c r="AA191" s="667"/>
      <c r="AB191" s="668"/>
      <c r="AC191" s="668"/>
      <c r="AD191" s="668"/>
      <c r="AE191" s="668"/>
      <c r="AF191" s="668"/>
      <c r="AG191" s="668"/>
      <c r="AH191" s="668"/>
      <c r="AI191" s="668"/>
      <c r="AJ191" s="668"/>
      <c r="AK191" s="668"/>
      <c r="AL191" s="668"/>
      <c r="AM191" s="668"/>
      <c r="AN191" s="668"/>
      <c r="AO191" s="668"/>
      <c r="AP191" s="668"/>
      <c r="AQ191" s="668"/>
      <c r="AR191" s="668"/>
      <c r="AS191" s="668"/>
      <c r="AT191" s="668"/>
      <c r="AU191" s="668"/>
      <c r="AV191" s="668"/>
      <c r="AW191" s="668"/>
      <c r="AX191" s="668"/>
      <c r="AY191" s="668"/>
      <c r="AZ191" s="668"/>
      <c r="BA191" s="668"/>
      <c r="BB191" s="668"/>
      <c r="BC191" s="669"/>
      <c r="BD191" s="295" t="s">
        <v>1151</v>
      </c>
      <c r="BS191" s="86" t="s">
        <v>403</v>
      </c>
      <c r="BT191" s="86" t="s">
        <v>404</v>
      </c>
      <c r="BU191" s="87" t="s">
        <v>1168</v>
      </c>
      <c r="BV191" s="84" t="s">
        <v>1166</v>
      </c>
      <c r="DH191" s="7" t="s">
        <v>1173</v>
      </c>
      <c r="DI191" s="7" t="s">
        <v>384</v>
      </c>
      <c r="DJ191" s="7" t="s">
        <v>429</v>
      </c>
      <c r="DK191" s="7" t="s">
        <v>430</v>
      </c>
      <c r="DL191" s="7" t="s">
        <v>428</v>
      </c>
      <c r="DQ191" s="7" t="s">
        <v>1168</v>
      </c>
      <c r="DR191" s="7" t="s">
        <v>1166</v>
      </c>
      <c r="EL191" s="828" t="s">
        <v>1172</v>
      </c>
      <c r="EM191" s="312" t="s">
        <v>1170</v>
      </c>
      <c r="EN191" s="268" t="s">
        <v>1171</v>
      </c>
      <c r="EO191" s="831">
        <v>435</v>
      </c>
      <c r="EP191" s="831">
        <v>450</v>
      </c>
      <c r="EQ191" s="803">
        <v>1</v>
      </c>
      <c r="ER191" s="808">
        <v>3</v>
      </c>
      <c r="ES191" s="808">
        <v>9</v>
      </c>
      <c r="ET191" s="830">
        <v>2</v>
      </c>
    </row>
    <row r="192" spans="1:150" ht="117.75" customHeight="1" x14ac:dyDescent="0.2">
      <c r="A192" s="271" t="s">
        <v>90</v>
      </c>
      <c r="B192" s="424" t="s">
        <v>91</v>
      </c>
      <c r="C192" s="425" t="s">
        <v>992</v>
      </c>
      <c r="D192" s="426" t="s">
        <v>1174</v>
      </c>
      <c r="E192" s="8" t="s">
        <v>641</v>
      </c>
      <c r="F192" s="275" t="str">
        <f t="shared" si="100"/>
        <v>E3.P_D</v>
      </c>
      <c r="G192" s="448" t="s">
        <v>284</v>
      </c>
      <c r="H192" s="448" t="s">
        <v>430</v>
      </c>
      <c r="I192" s="449" t="s">
        <v>1175</v>
      </c>
      <c r="J192" s="450" t="s">
        <v>167</v>
      </c>
      <c r="K192" s="451" t="str">
        <f t="shared" si="101"/>
        <v>E3.P_D.MR2</v>
      </c>
      <c r="L192" s="674" t="s">
        <v>415</v>
      </c>
      <c r="M192" s="675" t="s">
        <v>1148</v>
      </c>
      <c r="N192" s="241">
        <v>0</v>
      </c>
      <c r="O192" s="241">
        <v>4</v>
      </c>
      <c r="P192" s="359" t="s">
        <v>64</v>
      </c>
      <c r="Q192" s="360" t="str">
        <f t="shared" si="102"/>
        <v>E3.P_D.MR2-MP01-1</v>
      </c>
      <c r="R192" s="412" t="s">
        <v>1176</v>
      </c>
      <c r="S192" s="362" t="s">
        <v>1177</v>
      </c>
      <c r="T192" s="363">
        <v>0</v>
      </c>
      <c r="U192" s="364">
        <v>1</v>
      </c>
      <c r="V192" s="363" t="s">
        <v>67</v>
      </c>
      <c r="W192" s="249">
        <v>1</v>
      </c>
      <c r="X192" s="365">
        <v>1</v>
      </c>
      <c r="Y192" s="249">
        <v>1</v>
      </c>
      <c r="Z192" s="366">
        <v>1</v>
      </c>
      <c r="AA192" s="292"/>
      <c r="AB192" s="293"/>
      <c r="AC192" s="293"/>
      <c r="AD192" s="293"/>
      <c r="AE192" s="293"/>
      <c r="AF192" s="293"/>
      <c r="AG192" s="293"/>
      <c r="AH192" s="293"/>
      <c r="AI192" s="293"/>
      <c r="AJ192" s="293"/>
      <c r="AK192" s="293"/>
      <c r="AL192" s="293"/>
      <c r="AM192" s="293"/>
      <c r="AN192" s="293"/>
      <c r="AO192" s="293"/>
      <c r="AP192" s="293"/>
      <c r="AQ192" s="293"/>
      <c r="AR192" s="293"/>
      <c r="AS192" s="293"/>
      <c r="AT192" s="293"/>
      <c r="AU192" s="293"/>
      <c r="AV192" s="293"/>
      <c r="AW192" s="293"/>
      <c r="AX192" s="293"/>
      <c r="AY192" s="293"/>
      <c r="AZ192" s="293"/>
      <c r="BA192" s="293"/>
      <c r="BB192" s="293"/>
      <c r="BC192" s="294"/>
      <c r="BD192" s="295" t="s">
        <v>1151</v>
      </c>
      <c r="BS192" s="86" t="s">
        <v>403</v>
      </c>
      <c r="BT192" s="86" t="s">
        <v>404</v>
      </c>
      <c r="BU192" s="87" t="s">
        <v>1172</v>
      </c>
      <c r="BV192" s="84" t="s">
        <v>1170</v>
      </c>
      <c r="DH192" s="7" t="s">
        <v>1179</v>
      </c>
      <c r="DI192" s="7" t="s">
        <v>384</v>
      </c>
      <c r="DJ192" s="7" t="s">
        <v>429</v>
      </c>
      <c r="DK192" s="7" t="s">
        <v>430</v>
      </c>
      <c r="DL192" s="7" t="s">
        <v>428</v>
      </c>
      <c r="DQ192" s="7" t="s">
        <v>1172</v>
      </c>
      <c r="DR192" s="7" t="s">
        <v>1170</v>
      </c>
      <c r="EL192" s="822" t="s">
        <v>1178</v>
      </c>
      <c r="EM192" s="312" t="s">
        <v>1176</v>
      </c>
      <c r="EN192" s="268" t="s">
        <v>1177</v>
      </c>
      <c r="EO192" s="268">
        <v>0</v>
      </c>
      <c r="EP192" s="268">
        <v>1</v>
      </c>
      <c r="EQ192" s="269">
        <v>1</v>
      </c>
      <c r="ER192" s="269">
        <v>1</v>
      </c>
      <c r="ES192" s="269">
        <v>1</v>
      </c>
      <c r="ET192" s="820">
        <v>1</v>
      </c>
    </row>
    <row r="193" spans="1:150" ht="47.25" customHeight="1" x14ac:dyDescent="0.2">
      <c r="A193" s="271" t="s">
        <v>90</v>
      </c>
      <c r="B193" s="424" t="s">
        <v>91</v>
      </c>
      <c r="C193" s="425" t="s">
        <v>992</v>
      </c>
      <c r="D193" s="425"/>
      <c r="E193" s="8" t="s">
        <v>641</v>
      </c>
      <c r="F193" s="275" t="str">
        <f t="shared" si="100"/>
        <v>E3.P_D</v>
      </c>
      <c r="G193" s="448" t="s">
        <v>284</v>
      </c>
      <c r="H193" s="448" t="s">
        <v>430</v>
      </c>
      <c r="I193" s="452"/>
      <c r="J193" s="453" t="s">
        <v>167</v>
      </c>
      <c r="K193" s="368" t="str">
        <f t="shared" si="101"/>
        <v>E3.P_D.MR2</v>
      </c>
      <c r="L193" s="676" t="s">
        <v>415</v>
      </c>
      <c r="M193" s="677" t="s">
        <v>1148</v>
      </c>
      <c r="N193" s="282">
        <v>0</v>
      </c>
      <c r="O193" s="282">
        <v>4</v>
      </c>
      <c r="P193" s="371" t="s">
        <v>87</v>
      </c>
      <c r="Q193" s="372" t="str">
        <f t="shared" si="102"/>
        <v>E3.P_D.MR2-MP02-1</v>
      </c>
      <c r="R193" s="416" t="s">
        <v>1180</v>
      </c>
      <c r="S193" s="308" t="s">
        <v>1181</v>
      </c>
      <c r="T193" s="287">
        <v>0</v>
      </c>
      <c r="U193" s="288">
        <v>1</v>
      </c>
      <c r="V193" s="287" t="s">
        <v>67</v>
      </c>
      <c r="W193" s="289">
        <v>1</v>
      </c>
      <c r="X193" s="290">
        <v>1</v>
      </c>
      <c r="Y193" s="289">
        <v>1</v>
      </c>
      <c r="Z193" s="291">
        <v>1</v>
      </c>
      <c r="AA193" s="292"/>
      <c r="AB193" s="293"/>
      <c r="AC193" s="293"/>
      <c r="AD193" s="293"/>
      <c r="AE193" s="293"/>
      <c r="AF193" s="293"/>
      <c r="AG193" s="293"/>
      <c r="AH193" s="293"/>
      <c r="AI193" s="293"/>
      <c r="AJ193" s="293"/>
      <c r="AK193" s="293"/>
      <c r="AL193" s="293"/>
      <c r="AM193" s="293"/>
      <c r="AN193" s="293"/>
      <c r="AO193" s="293"/>
      <c r="AP193" s="293"/>
      <c r="AQ193" s="293"/>
      <c r="AR193" s="293"/>
      <c r="AS193" s="293"/>
      <c r="AT193" s="293"/>
      <c r="AU193" s="293"/>
      <c r="AV193" s="293"/>
      <c r="AW193" s="293"/>
      <c r="AX193" s="293"/>
      <c r="AY193" s="293"/>
      <c r="AZ193" s="293"/>
      <c r="BA193" s="293"/>
      <c r="BB193" s="293"/>
      <c r="BC193" s="294"/>
      <c r="BD193" s="295" t="s">
        <v>1151</v>
      </c>
      <c r="BS193" s="84" t="s">
        <v>414</v>
      </c>
      <c r="BT193" s="84" t="s">
        <v>415</v>
      </c>
      <c r="BU193" s="91" t="s">
        <v>1178</v>
      </c>
      <c r="BV193" s="84" t="s">
        <v>1176</v>
      </c>
      <c r="DH193" s="7" t="s">
        <v>1183</v>
      </c>
      <c r="DI193" s="7" t="s">
        <v>384</v>
      </c>
      <c r="DJ193" s="7" t="s">
        <v>429</v>
      </c>
      <c r="DK193" s="7" t="s">
        <v>430</v>
      </c>
      <c r="DL193" s="7" t="s">
        <v>439</v>
      </c>
      <c r="DQ193" s="7" t="s">
        <v>1178</v>
      </c>
      <c r="DR193" s="7" t="s">
        <v>1176</v>
      </c>
      <c r="EL193" s="822" t="s">
        <v>1182</v>
      </c>
      <c r="EM193" s="312" t="s">
        <v>1180</v>
      </c>
      <c r="EN193" s="268" t="s">
        <v>1181</v>
      </c>
      <c r="EO193" s="268">
        <v>0</v>
      </c>
      <c r="EP193" s="268">
        <v>1</v>
      </c>
      <c r="EQ193" s="269">
        <v>1</v>
      </c>
      <c r="ER193" s="269">
        <v>1</v>
      </c>
      <c r="ES193" s="269">
        <v>1</v>
      </c>
      <c r="ET193" s="820">
        <v>1</v>
      </c>
    </row>
    <row r="194" spans="1:150" ht="66.75" customHeight="1" thickBot="1" x14ac:dyDescent="0.25">
      <c r="A194" s="271" t="s">
        <v>90</v>
      </c>
      <c r="B194" s="424" t="s">
        <v>91</v>
      </c>
      <c r="C194" s="425" t="s">
        <v>992</v>
      </c>
      <c r="D194" s="425"/>
      <c r="E194" s="8" t="s">
        <v>641</v>
      </c>
      <c r="F194" s="275" t="str">
        <f t="shared" si="100"/>
        <v>E3.P_D</v>
      </c>
      <c r="G194" s="448" t="s">
        <v>284</v>
      </c>
      <c r="H194" s="448" t="s">
        <v>430</v>
      </c>
      <c r="I194" s="458"/>
      <c r="J194" s="459" t="s">
        <v>167</v>
      </c>
      <c r="K194" s="460" t="str">
        <f t="shared" si="101"/>
        <v>E3.P_D.MR2</v>
      </c>
      <c r="L194" s="678" t="s">
        <v>415</v>
      </c>
      <c r="M194" s="679" t="s">
        <v>1148</v>
      </c>
      <c r="N194" s="422">
        <v>0</v>
      </c>
      <c r="O194" s="422">
        <v>4</v>
      </c>
      <c r="P194" s="385" t="s">
        <v>99</v>
      </c>
      <c r="Q194" s="386" t="str">
        <f t="shared" si="102"/>
        <v>E3.P_D.MR2-MP03-1</v>
      </c>
      <c r="R194" s="423" t="s">
        <v>1184</v>
      </c>
      <c r="S194" s="344" t="s">
        <v>1185</v>
      </c>
      <c r="T194" s="387">
        <v>2</v>
      </c>
      <c r="U194" s="388">
        <v>2</v>
      </c>
      <c r="V194" s="387" t="s">
        <v>102</v>
      </c>
      <c r="W194" s="347">
        <v>0</v>
      </c>
      <c r="X194" s="348">
        <v>1</v>
      </c>
      <c r="Y194" s="347">
        <v>1</v>
      </c>
      <c r="Z194" s="349">
        <v>1</v>
      </c>
      <c r="AA194" s="377"/>
      <c r="AB194" s="378"/>
      <c r="AC194" s="378"/>
      <c r="AD194" s="378"/>
      <c r="AE194" s="378"/>
      <c r="AF194" s="378"/>
      <c r="AG194" s="378"/>
      <c r="AH194" s="378"/>
      <c r="AI194" s="378"/>
      <c r="AJ194" s="378"/>
      <c r="AK194" s="378"/>
      <c r="AL194" s="378"/>
      <c r="AM194" s="378"/>
      <c r="AN194" s="378"/>
      <c r="AO194" s="378"/>
      <c r="AP194" s="378"/>
      <c r="AQ194" s="378"/>
      <c r="AR194" s="378"/>
      <c r="AS194" s="378"/>
      <c r="AT194" s="378"/>
      <c r="AU194" s="378"/>
      <c r="AV194" s="378"/>
      <c r="AW194" s="378"/>
      <c r="AX194" s="378"/>
      <c r="AY194" s="378"/>
      <c r="AZ194" s="378"/>
      <c r="BA194" s="378"/>
      <c r="BB194" s="378"/>
      <c r="BC194" s="379"/>
      <c r="BD194" s="295" t="s">
        <v>1151</v>
      </c>
      <c r="BS194" s="86" t="s">
        <v>414</v>
      </c>
      <c r="BT194" s="86" t="s">
        <v>415</v>
      </c>
      <c r="BU194" s="91" t="s">
        <v>1182</v>
      </c>
      <c r="BV194" s="84" t="s">
        <v>1180</v>
      </c>
      <c r="DH194" s="7" t="s">
        <v>1187</v>
      </c>
      <c r="DI194" s="7" t="s">
        <v>384</v>
      </c>
      <c r="DJ194" s="7" t="s">
        <v>429</v>
      </c>
      <c r="DK194" s="7" t="s">
        <v>430</v>
      </c>
      <c r="DL194" s="7" t="s">
        <v>439</v>
      </c>
      <c r="DQ194" s="7" t="s">
        <v>1182</v>
      </c>
      <c r="DR194" s="7" t="s">
        <v>1180</v>
      </c>
      <c r="EL194" s="822" t="s">
        <v>1186</v>
      </c>
      <c r="EM194" s="312" t="s">
        <v>1184</v>
      </c>
      <c r="EN194" s="268" t="s">
        <v>1185</v>
      </c>
      <c r="EO194" s="380">
        <v>2</v>
      </c>
      <c r="EP194" s="380">
        <v>2</v>
      </c>
      <c r="EQ194" s="803">
        <v>0</v>
      </c>
      <c r="ER194" s="808">
        <v>0</v>
      </c>
      <c r="ES194" s="803">
        <v>1</v>
      </c>
      <c r="ET194" s="824">
        <v>1</v>
      </c>
    </row>
    <row r="195" spans="1:150" ht="141.75" customHeight="1" x14ac:dyDescent="0.2">
      <c r="A195" s="271" t="s">
        <v>90</v>
      </c>
      <c r="B195" s="424" t="s">
        <v>91</v>
      </c>
      <c r="C195" s="425" t="s">
        <v>992</v>
      </c>
      <c r="D195" s="426" t="s">
        <v>1188</v>
      </c>
      <c r="E195" s="3" t="s">
        <v>695</v>
      </c>
      <c r="F195" s="427" t="str">
        <f t="shared" si="100"/>
        <v>E3.P_E</v>
      </c>
      <c r="G195" s="428" t="s">
        <v>295</v>
      </c>
      <c r="H195" s="473" t="s">
        <v>448</v>
      </c>
      <c r="I195" s="449" t="s">
        <v>1189</v>
      </c>
      <c r="J195" s="450" t="s">
        <v>61</v>
      </c>
      <c r="K195" s="451" t="str">
        <f t="shared" si="101"/>
        <v>E3.P_E.MR1</v>
      </c>
      <c r="L195" s="355" t="s">
        <v>426</v>
      </c>
      <c r="M195" s="356" t="s">
        <v>1190</v>
      </c>
      <c r="N195" s="357">
        <v>0</v>
      </c>
      <c r="O195" s="241">
        <v>4</v>
      </c>
      <c r="P195" s="359" t="s">
        <v>64</v>
      </c>
      <c r="Q195" s="360" t="str">
        <f t="shared" si="102"/>
        <v>E3.P_E.MR1-MP01-1</v>
      </c>
      <c r="R195" s="412" t="s">
        <v>1191</v>
      </c>
      <c r="S195" s="362" t="s">
        <v>1192</v>
      </c>
      <c r="T195" s="612">
        <v>800</v>
      </c>
      <c r="U195" s="613">
        <v>2800</v>
      </c>
      <c r="V195" s="612" t="s">
        <v>67</v>
      </c>
      <c r="W195" s="480">
        <v>85</v>
      </c>
      <c r="X195" s="481">
        <v>866</v>
      </c>
      <c r="Y195" s="480">
        <v>910</v>
      </c>
      <c r="Z195" s="482">
        <v>939</v>
      </c>
      <c r="AA195" s="585">
        <f>182600000+225000000+120000000+31000000+89684972+3351660001</f>
        <v>3999944973</v>
      </c>
      <c r="AB195" s="586">
        <v>0</v>
      </c>
      <c r="AC195" s="586">
        <v>0</v>
      </c>
      <c r="AD195" s="586">
        <v>0</v>
      </c>
      <c r="AE195" s="586">
        <v>0</v>
      </c>
      <c r="AF195" s="586">
        <v>55027</v>
      </c>
      <c r="AG195" s="586">
        <f t="shared" ref="AG195" si="139">SUM(AA195:AF195)</f>
        <v>4000000000</v>
      </c>
      <c r="AH195" s="586">
        <f>AA195*1.035</f>
        <v>4139943047.0549998</v>
      </c>
      <c r="AI195" s="586">
        <f>AB195*1.035</f>
        <v>0</v>
      </c>
      <c r="AJ195" s="586">
        <f>AC195*1.035</f>
        <v>0</v>
      </c>
      <c r="AK195" s="586">
        <f>AD195*1.035</f>
        <v>0</v>
      </c>
      <c r="AL195" s="586">
        <f t="shared" ref="AL195" si="140">AE195*1.035</f>
        <v>0</v>
      </c>
      <c r="AM195" s="586">
        <f>AF195*1.035</f>
        <v>56952.944999999992</v>
      </c>
      <c r="AN195" s="586">
        <f t="shared" ref="AN195" si="141">SUM(AH195:AM195)</f>
        <v>4140000000</v>
      </c>
      <c r="AO195" s="586">
        <f t="shared" ref="AO195:AT195" si="142">AH195*1.035</f>
        <v>4284841053.7019243</v>
      </c>
      <c r="AP195" s="586">
        <f t="shared" si="142"/>
        <v>0</v>
      </c>
      <c r="AQ195" s="586">
        <f t="shared" si="142"/>
        <v>0</v>
      </c>
      <c r="AR195" s="586">
        <f t="shared" si="142"/>
        <v>0</v>
      </c>
      <c r="AS195" s="586">
        <f t="shared" si="142"/>
        <v>0</v>
      </c>
      <c r="AT195" s="586">
        <f t="shared" si="142"/>
        <v>58946.298074999984</v>
      </c>
      <c r="AU195" s="586">
        <f t="shared" ref="AU195" si="143">SUM(AO195:AT195)</f>
        <v>4284899999.9999995</v>
      </c>
      <c r="AV195" s="586">
        <f t="shared" ref="AV195:BA195" si="144">AO195*1.035</f>
        <v>4434810490.5814915</v>
      </c>
      <c r="AW195" s="586">
        <f t="shared" si="144"/>
        <v>0</v>
      </c>
      <c r="AX195" s="586">
        <f t="shared" si="144"/>
        <v>0</v>
      </c>
      <c r="AY195" s="586">
        <f t="shared" si="144"/>
        <v>0</v>
      </c>
      <c r="AZ195" s="586">
        <f t="shared" si="144"/>
        <v>0</v>
      </c>
      <c r="BA195" s="586">
        <f t="shared" si="144"/>
        <v>61009.418507624978</v>
      </c>
      <c r="BB195" s="586">
        <f t="shared" ref="BB195" si="145">SUM(AV195:BA195)</f>
        <v>4434871499.999999</v>
      </c>
      <c r="BC195" s="654">
        <f t="shared" ref="BC195" si="146">+BB195+AU195+AN195+AG195</f>
        <v>16859771499.999998</v>
      </c>
      <c r="BD195" s="295" t="s">
        <v>1151</v>
      </c>
      <c r="BS195" s="86" t="s">
        <v>414</v>
      </c>
      <c r="BT195" s="86" t="s">
        <v>415</v>
      </c>
      <c r="BU195" s="91" t="s">
        <v>1186</v>
      </c>
      <c r="BV195" s="84" t="s">
        <v>1184</v>
      </c>
      <c r="DH195" s="7" t="s">
        <v>1194</v>
      </c>
      <c r="DI195" s="7" t="s">
        <v>384</v>
      </c>
      <c r="DJ195" s="7" t="s">
        <v>429</v>
      </c>
      <c r="DK195" s="7" t="s">
        <v>430</v>
      </c>
      <c r="DL195" s="7" t="s">
        <v>439</v>
      </c>
      <c r="DQ195" s="7" t="s">
        <v>1186</v>
      </c>
      <c r="DR195" s="7" t="s">
        <v>1184</v>
      </c>
      <c r="EL195" s="822" t="s">
        <v>1193</v>
      </c>
      <c r="EM195" s="312" t="s">
        <v>1191</v>
      </c>
      <c r="EN195" s="268" t="s">
        <v>1192</v>
      </c>
      <c r="EO195" s="268">
        <v>800</v>
      </c>
      <c r="EP195" s="804">
        <v>2800</v>
      </c>
      <c r="EQ195" s="803">
        <v>100</v>
      </c>
      <c r="ER195" s="809">
        <v>1</v>
      </c>
      <c r="ES195" s="808">
        <v>50</v>
      </c>
      <c r="ET195" s="824">
        <v>1849</v>
      </c>
    </row>
    <row r="196" spans="1:150" ht="36" customHeight="1" x14ac:dyDescent="0.2">
      <c r="A196" s="271" t="s">
        <v>90</v>
      </c>
      <c r="B196" s="424" t="s">
        <v>91</v>
      </c>
      <c r="C196" s="425" t="s">
        <v>992</v>
      </c>
      <c r="D196" s="425"/>
      <c r="E196" s="8" t="s">
        <v>695</v>
      </c>
      <c r="F196" s="275" t="str">
        <f t="shared" si="100"/>
        <v>E3.P_E</v>
      </c>
      <c r="G196" s="448" t="s">
        <v>295</v>
      </c>
      <c r="H196" s="448" t="s">
        <v>448</v>
      </c>
      <c r="I196" s="452"/>
      <c r="J196" s="453" t="s">
        <v>61</v>
      </c>
      <c r="K196" s="368" t="str">
        <f t="shared" si="101"/>
        <v>E3.P_E.MR1</v>
      </c>
      <c r="L196" s="404" t="s">
        <v>1195</v>
      </c>
      <c r="M196" s="405" t="s">
        <v>1190</v>
      </c>
      <c r="N196" s="369">
        <v>0</v>
      </c>
      <c r="O196" s="282">
        <v>4</v>
      </c>
      <c r="P196" s="371" t="s">
        <v>87</v>
      </c>
      <c r="Q196" s="372" t="str">
        <f t="shared" si="102"/>
        <v>E3.P_E.MR1-MP02-1</v>
      </c>
      <c r="R196" s="416" t="s">
        <v>1196</v>
      </c>
      <c r="S196" s="308" t="s">
        <v>1197</v>
      </c>
      <c r="T196" s="287">
        <v>0</v>
      </c>
      <c r="U196" s="288">
        <v>400</v>
      </c>
      <c r="V196" s="287" t="s">
        <v>67</v>
      </c>
      <c r="W196" s="289">
        <v>100</v>
      </c>
      <c r="X196" s="290">
        <v>100</v>
      </c>
      <c r="Y196" s="289">
        <v>100</v>
      </c>
      <c r="Z196" s="291">
        <v>100</v>
      </c>
      <c r="AA196" s="292"/>
      <c r="AB196" s="293"/>
      <c r="AC196" s="293"/>
      <c r="AD196" s="293"/>
      <c r="AE196" s="293"/>
      <c r="AF196" s="293"/>
      <c r="AG196" s="293"/>
      <c r="AH196" s="293"/>
      <c r="AI196" s="293"/>
      <c r="AJ196" s="293"/>
      <c r="AK196" s="293"/>
      <c r="AL196" s="293"/>
      <c r="AM196" s="293"/>
      <c r="AN196" s="293"/>
      <c r="AO196" s="293"/>
      <c r="AP196" s="293"/>
      <c r="AQ196" s="293"/>
      <c r="AR196" s="293"/>
      <c r="AS196" s="293"/>
      <c r="AT196" s="293"/>
      <c r="AU196" s="293"/>
      <c r="AV196" s="293"/>
      <c r="AW196" s="293"/>
      <c r="AX196" s="293"/>
      <c r="AY196" s="293"/>
      <c r="AZ196" s="293"/>
      <c r="BA196" s="293"/>
      <c r="BB196" s="293"/>
      <c r="BC196" s="294"/>
      <c r="BD196" s="295" t="s">
        <v>1151</v>
      </c>
      <c r="BS196" s="84" t="s">
        <v>425</v>
      </c>
      <c r="BT196" s="84" t="s">
        <v>426</v>
      </c>
      <c r="BU196" s="87" t="s">
        <v>1193</v>
      </c>
      <c r="BV196" s="84" t="s">
        <v>1191</v>
      </c>
      <c r="DH196" s="7" t="s">
        <v>1199</v>
      </c>
      <c r="DI196" s="7" t="s">
        <v>384</v>
      </c>
      <c r="DJ196" s="7" t="s">
        <v>447</v>
      </c>
      <c r="DK196" s="7" t="s">
        <v>448</v>
      </c>
      <c r="DL196" s="7" t="s">
        <v>446</v>
      </c>
      <c r="DQ196" s="7" t="s">
        <v>1193</v>
      </c>
      <c r="DR196" s="7" t="s">
        <v>1191</v>
      </c>
      <c r="EL196" s="822" t="s">
        <v>1198</v>
      </c>
      <c r="EM196" s="312" t="s">
        <v>1196</v>
      </c>
      <c r="EN196" s="268" t="s">
        <v>1197</v>
      </c>
      <c r="EO196" s="268">
        <v>0</v>
      </c>
      <c r="EP196" s="268">
        <v>400</v>
      </c>
      <c r="EQ196" s="269">
        <v>0</v>
      </c>
      <c r="ER196" s="808">
        <v>0</v>
      </c>
      <c r="ES196" s="808">
        <v>100</v>
      </c>
      <c r="ET196" s="824">
        <v>300</v>
      </c>
    </row>
    <row r="197" spans="1:150" ht="39" customHeight="1" x14ac:dyDescent="0.2">
      <c r="A197" s="271" t="s">
        <v>90</v>
      </c>
      <c r="B197" s="424" t="s">
        <v>91</v>
      </c>
      <c r="C197" s="425" t="s">
        <v>992</v>
      </c>
      <c r="D197" s="425"/>
      <c r="E197" s="8" t="s">
        <v>695</v>
      </c>
      <c r="F197" s="275" t="str">
        <f t="shared" si="100"/>
        <v>E3.P_E</v>
      </c>
      <c r="G197" s="448" t="s">
        <v>295</v>
      </c>
      <c r="H197" s="448" t="s">
        <v>448</v>
      </c>
      <c r="I197" s="452"/>
      <c r="J197" s="453" t="s">
        <v>61</v>
      </c>
      <c r="K197" s="368" t="str">
        <f t="shared" si="101"/>
        <v>E3.P_E.MR1</v>
      </c>
      <c r="L197" s="404" t="s">
        <v>1195</v>
      </c>
      <c r="M197" s="405" t="s">
        <v>1190</v>
      </c>
      <c r="N197" s="369">
        <v>0</v>
      </c>
      <c r="O197" s="282">
        <v>4</v>
      </c>
      <c r="P197" s="371" t="s">
        <v>99</v>
      </c>
      <c r="Q197" s="372" t="str">
        <f t="shared" si="102"/>
        <v>E3.P_E.MR1-MP03-1</v>
      </c>
      <c r="R197" s="416" t="s">
        <v>1200</v>
      </c>
      <c r="S197" s="308" t="s">
        <v>1201</v>
      </c>
      <c r="T197" s="287">
        <v>0</v>
      </c>
      <c r="U197" s="288">
        <v>100</v>
      </c>
      <c r="V197" s="287" t="s">
        <v>67</v>
      </c>
      <c r="W197" s="289">
        <v>52</v>
      </c>
      <c r="X197" s="290">
        <v>16</v>
      </c>
      <c r="Y197" s="289">
        <v>16</v>
      </c>
      <c r="Z197" s="291">
        <v>16</v>
      </c>
      <c r="AA197" s="292"/>
      <c r="AB197" s="293"/>
      <c r="AC197" s="293"/>
      <c r="AD197" s="293"/>
      <c r="AE197" s="293"/>
      <c r="AF197" s="293"/>
      <c r="AG197" s="293"/>
      <c r="AH197" s="293"/>
      <c r="AI197" s="293"/>
      <c r="AJ197" s="293"/>
      <c r="AK197" s="293"/>
      <c r="AL197" s="293"/>
      <c r="AM197" s="293"/>
      <c r="AN197" s="293"/>
      <c r="AO197" s="293"/>
      <c r="AP197" s="293"/>
      <c r="AQ197" s="293"/>
      <c r="AR197" s="293"/>
      <c r="AS197" s="293"/>
      <c r="AT197" s="293"/>
      <c r="AU197" s="293"/>
      <c r="AV197" s="293"/>
      <c r="AW197" s="293"/>
      <c r="AX197" s="293"/>
      <c r="AY197" s="293"/>
      <c r="AZ197" s="293"/>
      <c r="BA197" s="293"/>
      <c r="BB197" s="293"/>
      <c r="BC197" s="294"/>
      <c r="BD197" s="295" t="s">
        <v>1151</v>
      </c>
      <c r="BS197" s="86" t="s">
        <v>425</v>
      </c>
      <c r="BT197" s="86" t="s">
        <v>1195</v>
      </c>
      <c r="BU197" s="87" t="s">
        <v>1198</v>
      </c>
      <c r="BV197" s="84" t="s">
        <v>1196</v>
      </c>
      <c r="DH197" s="7" t="s">
        <v>1203</v>
      </c>
      <c r="DI197" s="7" t="s">
        <v>384</v>
      </c>
      <c r="DJ197" s="7" t="s">
        <v>447</v>
      </c>
      <c r="DK197" s="7" t="s">
        <v>448</v>
      </c>
      <c r="DL197" s="7" t="s">
        <v>1204</v>
      </c>
      <c r="DQ197" s="7" t="s">
        <v>1198</v>
      </c>
      <c r="DR197" s="7" t="s">
        <v>1196</v>
      </c>
      <c r="EL197" s="822" t="s">
        <v>1202</v>
      </c>
      <c r="EM197" s="312" t="s">
        <v>1200</v>
      </c>
      <c r="EN197" s="268" t="s">
        <v>1201</v>
      </c>
      <c r="EO197" s="268">
        <v>0</v>
      </c>
      <c r="EP197" s="268">
        <v>100</v>
      </c>
      <c r="EQ197" s="269">
        <v>0</v>
      </c>
      <c r="ER197" s="808">
        <v>0</v>
      </c>
      <c r="ES197" s="808">
        <v>30</v>
      </c>
      <c r="ET197" s="824">
        <v>70</v>
      </c>
    </row>
    <row r="198" spans="1:150" ht="33" customHeight="1" x14ac:dyDescent="0.2">
      <c r="A198" s="271" t="s">
        <v>90</v>
      </c>
      <c r="B198" s="424" t="s">
        <v>91</v>
      </c>
      <c r="C198" s="425" t="s">
        <v>992</v>
      </c>
      <c r="D198" s="425"/>
      <c r="E198" s="8" t="s">
        <v>695</v>
      </c>
      <c r="F198" s="275" t="str">
        <f t="shared" si="100"/>
        <v>E3.P_E</v>
      </c>
      <c r="G198" s="448" t="s">
        <v>295</v>
      </c>
      <c r="H198" s="448" t="s">
        <v>448</v>
      </c>
      <c r="I198" s="452"/>
      <c r="J198" s="453" t="s">
        <v>61</v>
      </c>
      <c r="K198" s="368" t="str">
        <f t="shared" si="101"/>
        <v>E3.P_E.MR1</v>
      </c>
      <c r="L198" s="404" t="s">
        <v>1195</v>
      </c>
      <c r="M198" s="405" t="s">
        <v>1190</v>
      </c>
      <c r="N198" s="369">
        <v>0</v>
      </c>
      <c r="O198" s="282">
        <v>4</v>
      </c>
      <c r="P198" s="371" t="s">
        <v>112</v>
      </c>
      <c r="Q198" s="372" t="str">
        <f t="shared" si="102"/>
        <v>E3.P_E.MR1-MP04-1</v>
      </c>
      <c r="R198" s="416" t="s">
        <v>1205</v>
      </c>
      <c r="S198" s="308" t="s">
        <v>1206</v>
      </c>
      <c r="T198" s="287">
        <v>0</v>
      </c>
      <c r="U198" s="288">
        <v>1</v>
      </c>
      <c r="V198" s="287" t="s">
        <v>67</v>
      </c>
      <c r="W198" s="315">
        <v>0.51</v>
      </c>
      <c r="X198" s="316">
        <v>0.16</v>
      </c>
      <c r="Y198" s="315">
        <v>0.16</v>
      </c>
      <c r="Z198" s="317">
        <v>0.17</v>
      </c>
      <c r="AA198" s="292"/>
      <c r="AB198" s="293"/>
      <c r="AC198" s="293"/>
      <c r="AD198" s="293"/>
      <c r="AE198" s="293"/>
      <c r="AF198" s="293"/>
      <c r="AG198" s="293"/>
      <c r="AH198" s="293"/>
      <c r="AI198" s="293"/>
      <c r="AJ198" s="293"/>
      <c r="AK198" s="293"/>
      <c r="AL198" s="293"/>
      <c r="AM198" s="293"/>
      <c r="AN198" s="293"/>
      <c r="AO198" s="293"/>
      <c r="AP198" s="293"/>
      <c r="AQ198" s="293"/>
      <c r="AR198" s="293"/>
      <c r="AS198" s="293"/>
      <c r="AT198" s="293"/>
      <c r="AU198" s="293"/>
      <c r="AV198" s="293"/>
      <c r="AW198" s="293"/>
      <c r="AX198" s="293"/>
      <c r="AY198" s="293"/>
      <c r="AZ198" s="293"/>
      <c r="BA198" s="293"/>
      <c r="BB198" s="293"/>
      <c r="BC198" s="294"/>
      <c r="BD198" s="295" t="s">
        <v>1151</v>
      </c>
      <c r="BS198" s="86" t="s">
        <v>425</v>
      </c>
      <c r="BT198" s="86" t="s">
        <v>1195</v>
      </c>
      <c r="BU198" s="87" t="s">
        <v>1202</v>
      </c>
      <c r="BV198" s="84" t="s">
        <v>1200</v>
      </c>
      <c r="DH198" s="7" t="s">
        <v>1208</v>
      </c>
      <c r="DI198" s="7" t="s">
        <v>384</v>
      </c>
      <c r="DJ198" s="7" t="s">
        <v>447</v>
      </c>
      <c r="DK198" s="7" t="s">
        <v>448</v>
      </c>
      <c r="DL198" s="7" t="s">
        <v>1204</v>
      </c>
      <c r="DQ198" s="7" t="s">
        <v>1202</v>
      </c>
      <c r="DR198" s="7" t="s">
        <v>1200</v>
      </c>
      <c r="EL198" s="822" t="s">
        <v>1207</v>
      </c>
      <c r="EM198" s="312" t="s">
        <v>1205</v>
      </c>
      <c r="EN198" s="268" t="s">
        <v>1206</v>
      </c>
      <c r="EO198" s="268">
        <v>0</v>
      </c>
      <c r="EP198" s="268">
        <v>1</v>
      </c>
      <c r="EQ198" s="323">
        <v>0</v>
      </c>
      <c r="ER198" s="810">
        <v>0</v>
      </c>
      <c r="ES198" s="323">
        <v>0.5</v>
      </c>
      <c r="ET198" s="821">
        <v>0.5</v>
      </c>
    </row>
    <row r="199" spans="1:150" ht="42" customHeight="1" x14ac:dyDescent="0.2">
      <c r="A199" s="271" t="s">
        <v>90</v>
      </c>
      <c r="B199" s="424" t="s">
        <v>91</v>
      </c>
      <c r="C199" s="425" t="s">
        <v>992</v>
      </c>
      <c r="D199" s="425"/>
      <c r="E199" s="8" t="s">
        <v>695</v>
      </c>
      <c r="F199" s="275" t="str">
        <f t="shared" si="100"/>
        <v>E3.P_E</v>
      </c>
      <c r="G199" s="448" t="s">
        <v>295</v>
      </c>
      <c r="H199" s="448" t="s">
        <v>448</v>
      </c>
      <c r="I199" s="452"/>
      <c r="J199" s="453" t="s">
        <v>61</v>
      </c>
      <c r="K199" s="368" t="str">
        <f t="shared" si="101"/>
        <v>E3.P_E.MR1</v>
      </c>
      <c r="L199" s="404" t="s">
        <v>1195</v>
      </c>
      <c r="M199" s="405" t="s">
        <v>1190</v>
      </c>
      <c r="N199" s="369">
        <v>0</v>
      </c>
      <c r="O199" s="282">
        <v>4</v>
      </c>
      <c r="P199" s="371" t="s">
        <v>122</v>
      </c>
      <c r="Q199" s="372" t="str">
        <f t="shared" si="102"/>
        <v>E3.P_E.MR1-MP05-1</v>
      </c>
      <c r="R199" s="416" t="s">
        <v>1209</v>
      </c>
      <c r="S199" s="308" t="s">
        <v>1210</v>
      </c>
      <c r="T199" s="313">
        <v>0.3</v>
      </c>
      <c r="U199" s="314">
        <v>1</v>
      </c>
      <c r="V199" s="313" t="s">
        <v>67</v>
      </c>
      <c r="W199" s="309">
        <v>0</v>
      </c>
      <c r="X199" s="316">
        <v>32.83</v>
      </c>
      <c r="Y199" s="289">
        <v>33</v>
      </c>
      <c r="Z199" s="317">
        <v>34.17</v>
      </c>
      <c r="AA199" s="318"/>
      <c r="AB199" s="319"/>
      <c r="AC199" s="319"/>
      <c r="AD199" s="319"/>
      <c r="AE199" s="319"/>
      <c r="AF199" s="319"/>
      <c r="AG199" s="319"/>
      <c r="AH199" s="319"/>
      <c r="AI199" s="319"/>
      <c r="AJ199" s="319"/>
      <c r="AK199" s="319"/>
      <c r="AL199" s="319"/>
      <c r="AM199" s="319"/>
      <c r="AN199" s="319"/>
      <c r="AO199" s="319"/>
      <c r="AP199" s="319"/>
      <c r="AQ199" s="319"/>
      <c r="AR199" s="319"/>
      <c r="AS199" s="319"/>
      <c r="AT199" s="319"/>
      <c r="AU199" s="319"/>
      <c r="AV199" s="319"/>
      <c r="AW199" s="319"/>
      <c r="AX199" s="319"/>
      <c r="AY199" s="319"/>
      <c r="AZ199" s="319"/>
      <c r="BA199" s="319"/>
      <c r="BB199" s="319"/>
      <c r="BC199" s="320"/>
      <c r="BD199" s="295" t="s">
        <v>1151</v>
      </c>
      <c r="BS199" s="86" t="s">
        <v>425</v>
      </c>
      <c r="BT199" s="86" t="s">
        <v>1195</v>
      </c>
      <c r="BU199" s="87" t="s">
        <v>1207</v>
      </c>
      <c r="BV199" s="84" t="s">
        <v>1205</v>
      </c>
      <c r="DH199" s="7" t="s">
        <v>1212</v>
      </c>
      <c r="DI199" s="7" t="s">
        <v>384</v>
      </c>
      <c r="DJ199" s="7" t="s">
        <v>447</v>
      </c>
      <c r="DK199" s="7" t="s">
        <v>448</v>
      </c>
      <c r="DL199" s="7" t="s">
        <v>1204</v>
      </c>
      <c r="DQ199" s="7" t="s">
        <v>1207</v>
      </c>
      <c r="DR199" s="7" t="s">
        <v>1205</v>
      </c>
      <c r="EL199" s="822" t="s">
        <v>1211</v>
      </c>
      <c r="EM199" s="312" t="s">
        <v>1209</v>
      </c>
      <c r="EN199" s="268" t="s">
        <v>1903</v>
      </c>
      <c r="EO199" s="270">
        <v>30</v>
      </c>
      <c r="EP199" s="802">
        <v>100</v>
      </c>
      <c r="EQ199" s="802">
        <v>0</v>
      </c>
      <c r="ER199" s="810">
        <v>80</v>
      </c>
      <c r="ES199" s="808">
        <v>20</v>
      </c>
      <c r="ET199" s="821">
        <v>0</v>
      </c>
    </row>
    <row r="200" spans="1:150" ht="54" customHeight="1" thickBot="1" x14ac:dyDescent="0.25">
      <c r="A200" s="271" t="s">
        <v>90</v>
      </c>
      <c r="B200" s="424" t="s">
        <v>91</v>
      </c>
      <c r="C200" s="425" t="s">
        <v>992</v>
      </c>
      <c r="D200" s="425"/>
      <c r="E200" s="8" t="s">
        <v>695</v>
      </c>
      <c r="F200" s="275" t="str">
        <f t="shared" si="100"/>
        <v>E3.P_E</v>
      </c>
      <c r="G200" s="560" t="s">
        <v>295</v>
      </c>
      <c r="H200" s="560" t="s">
        <v>448</v>
      </c>
      <c r="I200" s="458"/>
      <c r="J200" s="459" t="s">
        <v>61</v>
      </c>
      <c r="K200" s="460" t="str">
        <f t="shared" si="101"/>
        <v>E3.P_E.MR1</v>
      </c>
      <c r="L200" s="420" t="s">
        <v>1195</v>
      </c>
      <c r="M200" s="421" t="s">
        <v>1190</v>
      </c>
      <c r="N200" s="383">
        <v>0</v>
      </c>
      <c r="O200" s="422">
        <v>4</v>
      </c>
      <c r="P200" s="385" t="s">
        <v>132</v>
      </c>
      <c r="Q200" s="386" t="str">
        <f t="shared" si="102"/>
        <v>E3.P_E.MR1-MP06-1</v>
      </c>
      <c r="R200" s="471" t="s">
        <v>1213</v>
      </c>
      <c r="S200" s="331" t="s">
        <v>1214</v>
      </c>
      <c r="T200" s="332">
        <v>0</v>
      </c>
      <c r="U200" s="333">
        <v>1</v>
      </c>
      <c r="V200" s="287" t="s">
        <v>67</v>
      </c>
      <c r="W200" s="315">
        <v>0.51</v>
      </c>
      <c r="X200" s="316">
        <v>0.16</v>
      </c>
      <c r="Y200" s="315">
        <v>0.16</v>
      </c>
      <c r="Z200" s="317">
        <v>0.17</v>
      </c>
      <c r="AA200" s="292"/>
      <c r="AB200" s="293"/>
      <c r="AC200" s="293"/>
      <c r="AD200" s="293"/>
      <c r="AE200" s="293"/>
      <c r="AF200" s="293"/>
      <c r="AG200" s="293"/>
      <c r="AH200" s="293"/>
      <c r="AI200" s="293"/>
      <c r="AJ200" s="293"/>
      <c r="AK200" s="293"/>
      <c r="AL200" s="293"/>
      <c r="AM200" s="293"/>
      <c r="AN200" s="293"/>
      <c r="AO200" s="293"/>
      <c r="AP200" s="293"/>
      <c r="AQ200" s="293"/>
      <c r="AR200" s="293"/>
      <c r="AS200" s="293"/>
      <c r="AT200" s="293"/>
      <c r="AU200" s="293"/>
      <c r="AV200" s="293"/>
      <c r="AW200" s="293"/>
      <c r="AX200" s="293"/>
      <c r="AY200" s="293"/>
      <c r="AZ200" s="293"/>
      <c r="BA200" s="293"/>
      <c r="BB200" s="293"/>
      <c r="BC200" s="294"/>
      <c r="BD200" s="295" t="s">
        <v>1151</v>
      </c>
      <c r="BS200" s="86" t="s">
        <v>425</v>
      </c>
      <c r="BT200" s="86" t="s">
        <v>1195</v>
      </c>
      <c r="BU200" s="87" t="s">
        <v>1211</v>
      </c>
      <c r="BV200" s="84" t="s">
        <v>1209</v>
      </c>
      <c r="DH200" s="7" t="s">
        <v>1216</v>
      </c>
      <c r="DI200" s="7" t="s">
        <v>384</v>
      </c>
      <c r="DJ200" s="7" t="s">
        <v>447</v>
      </c>
      <c r="DK200" s="7" t="s">
        <v>448</v>
      </c>
      <c r="DL200" s="7" t="s">
        <v>1204</v>
      </c>
      <c r="DQ200" s="7" t="s">
        <v>1211</v>
      </c>
      <c r="DR200" s="7" t="s">
        <v>1209</v>
      </c>
      <c r="EL200" s="822" t="s">
        <v>1215</v>
      </c>
      <c r="EM200" s="312" t="s">
        <v>1213</v>
      </c>
      <c r="EN200" s="268" t="s">
        <v>1214</v>
      </c>
      <c r="EO200" s="268">
        <v>0</v>
      </c>
      <c r="EP200" s="268">
        <v>1</v>
      </c>
      <c r="EQ200" s="323">
        <v>0.51</v>
      </c>
      <c r="ER200" s="323">
        <v>0.16</v>
      </c>
      <c r="ES200" s="323">
        <v>0.16</v>
      </c>
      <c r="ET200" s="819">
        <v>0.17</v>
      </c>
    </row>
    <row r="201" spans="1:150" ht="119.25" customHeight="1" x14ac:dyDescent="0.2">
      <c r="A201" s="271" t="s">
        <v>90</v>
      </c>
      <c r="B201" s="424" t="s">
        <v>91</v>
      </c>
      <c r="C201" s="425" t="s">
        <v>992</v>
      </c>
      <c r="D201" s="426" t="s">
        <v>1217</v>
      </c>
      <c r="E201" s="3" t="s">
        <v>718</v>
      </c>
      <c r="F201" s="427" t="str">
        <f t="shared" si="100"/>
        <v>E3.P_F</v>
      </c>
      <c r="G201" s="428" t="s">
        <v>307</v>
      </c>
      <c r="H201" s="473" t="s">
        <v>459</v>
      </c>
      <c r="I201" s="449" t="s">
        <v>1218</v>
      </c>
      <c r="J201" s="450" t="s">
        <v>61</v>
      </c>
      <c r="K201" s="451" t="str">
        <f t="shared" si="101"/>
        <v>E3.P_F.MR1</v>
      </c>
      <c r="L201" s="355" t="s">
        <v>437</v>
      </c>
      <c r="M201" s="356" t="s">
        <v>1219</v>
      </c>
      <c r="N201" s="475">
        <v>0</v>
      </c>
      <c r="O201" s="401">
        <v>0.2</v>
      </c>
      <c r="P201" s="680" t="s">
        <v>64</v>
      </c>
      <c r="Q201" s="243" t="str">
        <f t="shared" si="102"/>
        <v>E3.P_F.MR1-MP01-1</v>
      </c>
      <c r="R201" s="412" t="s">
        <v>1220</v>
      </c>
      <c r="S201" s="362" t="s">
        <v>282</v>
      </c>
      <c r="T201" s="363">
        <v>0</v>
      </c>
      <c r="U201" s="364">
        <v>1</v>
      </c>
      <c r="V201" s="287" t="s">
        <v>67</v>
      </c>
      <c r="W201" s="315">
        <v>0.25</v>
      </c>
      <c r="X201" s="316">
        <v>0.25</v>
      </c>
      <c r="Y201" s="315">
        <v>0.25</v>
      </c>
      <c r="Z201" s="317">
        <v>0.25</v>
      </c>
      <c r="AA201" s="585">
        <v>0</v>
      </c>
      <c r="AB201" s="586">
        <v>0</v>
      </c>
      <c r="AC201" s="586">
        <v>0</v>
      </c>
      <c r="AD201" s="586">
        <v>0</v>
      </c>
      <c r="AE201" s="586">
        <v>0</v>
      </c>
      <c r="AF201" s="586">
        <v>50000000</v>
      </c>
      <c r="AG201" s="586">
        <f t="shared" ref="AG201" si="147">SUM(AA201:AF201)</f>
        <v>50000000</v>
      </c>
      <c r="AH201" s="586"/>
      <c r="AI201" s="586">
        <f>AB201*1.035</f>
        <v>0</v>
      </c>
      <c r="AJ201" s="586"/>
      <c r="AK201" s="586">
        <f>AD201*1.035</f>
        <v>0</v>
      </c>
      <c r="AL201" s="586">
        <f t="shared" ref="AL201" si="148">AE201*1.035</f>
        <v>0</v>
      </c>
      <c r="AM201" s="586">
        <v>120000000</v>
      </c>
      <c r="AN201" s="586">
        <f t="shared" ref="AN201" si="149">SUM(AH201:AM201)</f>
        <v>120000000</v>
      </c>
      <c r="AO201" s="586"/>
      <c r="AP201" s="586">
        <f>AI201*1.035</f>
        <v>0</v>
      </c>
      <c r="AQ201" s="586"/>
      <c r="AR201" s="586">
        <f>AK201*1.035</f>
        <v>0</v>
      </c>
      <c r="AS201" s="586">
        <f>AL201*1.035</f>
        <v>0</v>
      </c>
      <c r="AT201" s="586">
        <v>171367000</v>
      </c>
      <c r="AU201" s="586">
        <f t="shared" ref="AU201" si="150">SUM(AO201:AT201)</f>
        <v>171367000</v>
      </c>
      <c r="AV201" s="586"/>
      <c r="AW201" s="586">
        <f>AP201*1.035</f>
        <v>0</v>
      </c>
      <c r="AX201" s="586"/>
      <c r="AY201" s="586">
        <f>AR201*1.035</f>
        <v>0</v>
      </c>
      <c r="AZ201" s="586">
        <f>AS201*1.035</f>
        <v>0</v>
      </c>
      <c r="BA201" s="586">
        <v>148000000</v>
      </c>
      <c r="BB201" s="586">
        <f t="shared" ref="BB201" si="151">SUM(AV201:BA201)</f>
        <v>148000000</v>
      </c>
      <c r="BC201" s="654">
        <f t="shared" ref="BC201" si="152">+BB201+AU201+AN201+AG201</f>
        <v>489367000</v>
      </c>
      <c r="BD201" s="295" t="s">
        <v>1221</v>
      </c>
      <c r="BS201" s="86" t="s">
        <v>425</v>
      </c>
      <c r="BT201" s="86" t="s">
        <v>1195</v>
      </c>
      <c r="BU201" s="87" t="s">
        <v>1215</v>
      </c>
      <c r="BV201" s="84" t="s">
        <v>1213</v>
      </c>
      <c r="DH201" s="7" t="s">
        <v>1223</v>
      </c>
      <c r="DI201" s="7" t="s">
        <v>384</v>
      </c>
      <c r="DJ201" s="7" t="s">
        <v>447</v>
      </c>
      <c r="DK201" s="7" t="s">
        <v>448</v>
      </c>
      <c r="DL201" s="7" t="s">
        <v>1204</v>
      </c>
      <c r="DQ201" s="7" t="s">
        <v>1215</v>
      </c>
      <c r="DR201" s="7" t="s">
        <v>1213</v>
      </c>
      <c r="EL201" s="816" t="s">
        <v>1222</v>
      </c>
      <c r="EM201" s="312" t="s">
        <v>1220</v>
      </c>
      <c r="EN201" s="268" t="s">
        <v>282</v>
      </c>
      <c r="EO201" s="268">
        <v>0</v>
      </c>
      <c r="EP201" s="268">
        <v>1</v>
      </c>
      <c r="EQ201" s="323">
        <v>0.25</v>
      </c>
      <c r="ER201" s="810">
        <v>0.13</v>
      </c>
      <c r="ES201" s="810">
        <v>0.37</v>
      </c>
      <c r="ET201" s="819">
        <v>0.25</v>
      </c>
    </row>
    <row r="202" spans="1:150" ht="57.75" customHeight="1" x14ac:dyDescent="0.2">
      <c r="A202" s="271" t="s">
        <v>90</v>
      </c>
      <c r="B202" s="424" t="s">
        <v>91</v>
      </c>
      <c r="C202" s="425" t="s">
        <v>992</v>
      </c>
      <c r="D202" s="425"/>
      <c r="E202" s="8" t="s">
        <v>718</v>
      </c>
      <c r="F202" s="275" t="str">
        <f t="shared" ref="F202:F265" si="153">+CONCATENATE(A202,E202)</f>
        <v>E3.P_F</v>
      </c>
      <c r="G202" s="448" t="s">
        <v>307</v>
      </c>
      <c r="H202" s="448" t="s">
        <v>459</v>
      </c>
      <c r="I202" s="452"/>
      <c r="J202" s="453" t="s">
        <v>61</v>
      </c>
      <c r="K202" s="368" t="str">
        <f t="shared" ref="K202:K265" si="154">+CONCATENATE(F202,".",J202)</f>
        <v>E3.P_F.MR1</v>
      </c>
      <c r="L202" s="404" t="s">
        <v>437</v>
      </c>
      <c r="M202" s="405" t="s">
        <v>1219</v>
      </c>
      <c r="N202" s="487">
        <v>0</v>
      </c>
      <c r="O202" s="407">
        <v>0.2</v>
      </c>
      <c r="P202" s="306" t="s">
        <v>87</v>
      </c>
      <c r="Q202" s="284" t="str">
        <f t="shared" ref="Q202:Q265" si="155">+CONCATENATE(K202,"-",P202)</f>
        <v>E3.P_F.MR1-MP02-1</v>
      </c>
      <c r="R202" s="416" t="s">
        <v>1224</v>
      </c>
      <c r="S202" s="308" t="s">
        <v>1225</v>
      </c>
      <c r="T202" s="287">
        <v>2</v>
      </c>
      <c r="U202" s="288">
        <v>2</v>
      </c>
      <c r="V202" s="287" t="s">
        <v>102</v>
      </c>
      <c r="W202" s="309">
        <v>0.5</v>
      </c>
      <c r="X202" s="324">
        <v>0.5</v>
      </c>
      <c r="Y202" s="309">
        <v>0.5</v>
      </c>
      <c r="Z202" s="310">
        <v>0.5</v>
      </c>
      <c r="AA202" s="292"/>
      <c r="AB202" s="293"/>
      <c r="AC202" s="293"/>
      <c r="AD202" s="293"/>
      <c r="AE202" s="293"/>
      <c r="AF202" s="293"/>
      <c r="AG202" s="293"/>
      <c r="AH202" s="293"/>
      <c r="AI202" s="293"/>
      <c r="AJ202" s="293"/>
      <c r="AK202" s="293"/>
      <c r="AL202" s="293"/>
      <c r="AM202" s="293"/>
      <c r="AN202" s="293"/>
      <c r="AO202" s="293"/>
      <c r="AP202" s="293"/>
      <c r="AQ202" s="293"/>
      <c r="AR202" s="293"/>
      <c r="AS202" s="293"/>
      <c r="AT202" s="293"/>
      <c r="AU202" s="293"/>
      <c r="AV202" s="293"/>
      <c r="AW202" s="293"/>
      <c r="AX202" s="293"/>
      <c r="AY202" s="293"/>
      <c r="AZ202" s="293"/>
      <c r="BA202" s="293"/>
      <c r="BB202" s="293"/>
      <c r="BC202" s="294"/>
      <c r="BD202" s="295" t="s">
        <v>1221</v>
      </c>
      <c r="BS202" s="84" t="s">
        <v>436</v>
      </c>
      <c r="BT202" s="84" t="s">
        <v>437</v>
      </c>
      <c r="BU202" s="87" t="s">
        <v>1222</v>
      </c>
      <c r="BV202" s="84" t="s">
        <v>1220</v>
      </c>
      <c r="DH202" s="7" t="s">
        <v>1227</v>
      </c>
      <c r="DI202" s="7" t="s">
        <v>384</v>
      </c>
      <c r="DJ202" s="7" t="s">
        <v>458</v>
      </c>
      <c r="DK202" s="7" t="s">
        <v>459</v>
      </c>
      <c r="DL202" s="7" t="s">
        <v>457</v>
      </c>
      <c r="DQ202" s="7" t="s">
        <v>1222</v>
      </c>
      <c r="DR202" s="7" t="s">
        <v>1220</v>
      </c>
      <c r="EL202" s="816" t="s">
        <v>1226</v>
      </c>
      <c r="EM202" s="312" t="s">
        <v>1224</v>
      </c>
      <c r="EN202" s="268" t="s">
        <v>1225</v>
      </c>
      <c r="EO202" s="268">
        <v>2</v>
      </c>
      <c r="EP202" s="268">
        <v>2</v>
      </c>
      <c r="EQ202" s="270">
        <v>0</v>
      </c>
      <c r="ER202" s="323">
        <v>0.75</v>
      </c>
      <c r="ES202" s="323">
        <v>0.75</v>
      </c>
      <c r="ET202" s="823">
        <v>0.5</v>
      </c>
    </row>
    <row r="203" spans="1:150" ht="42" customHeight="1" x14ac:dyDescent="0.2">
      <c r="A203" s="271" t="s">
        <v>90</v>
      </c>
      <c r="B203" s="424" t="s">
        <v>91</v>
      </c>
      <c r="C203" s="425" t="s">
        <v>992</v>
      </c>
      <c r="D203" s="425"/>
      <c r="E203" s="8" t="s">
        <v>718</v>
      </c>
      <c r="F203" s="275" t="str">
        <f t="shared" si="153"/>
        <v>E3.P_F</v>
      </c>
      <c r="G203" s="448" t="s">
        <v>307</v>
      </c>
      <c r="H203" s="448" t="s">
        <v>459</v>
      </c>
      <c r="I203" s="452"/>
      <c r="J203" s="453" t="s">
        <v>61</v>
      </c>
      <c r="K203" s="368" t="str">
        <f t="shared" si="154"/>
        <v>E3.P_F.MR1</v>
      </c>
      <c r="L203" s="404" t="s">
        <v>437</v>
      </c>
      <c r="M203" s="405" t="s">
        <v>1219</v>
      </c>
      <c r="N203" s="487">
        <v>0</v>
      </c>
      <c r="O203" s="407">
        <v>0.2</v>
      </c>
      <c r="P203" s="306" t="s">
        <v>99</v>
      </c>
      <c r="Q203" s="284" t="str">
        <f t="shared" si="155"/>
        <v>E3.P_F.MR1-MP03-1</v>
      </c>
      <c r="R203" s="416" t="s">
        <v>1228</v>
      </c>
      <c r="S203" s="308" t="s">
        <v>1229</v>
      </c>
      <c r="T203" s="681">
        <v>0.25</v>
      </c>
      <c r="U203" s="376">
        <v>1</v>
      </c>
      <c r="V203" s="375" t="s">
        <v>67</v>
      </c>
      <c r="W203" s="289">
        <v>0</v>
      </c>
      <c r="X203" s="316">
        <v>0.25</v>
      </c>
      <c r="Y203" s="309">
        <v>0.5</v>
      </c>
      <c r="Z203" s="317">
        <v>0.25</v>
      </c>
      <c r="AA203" s="377"/>
      <c r="AB203" s="378"/>
      <c r="AC203" s="378"/>
      <c r="AD203" s="378"/>
      <c r="AE203" s="378"/>
      <c r="AF203" s="378"/>
      <c r="AG203" s="378"/>
      <c r="AH203" s="378"/>
      <c r="AI203" s="378"/>
      <c r="AJ203" s="378"/>
      <c r="AK203" s="378"/>
      <c r="AL203" s="378"/>
      <c r="AM203" s="378"/>
      <c r="AN203" s="378"/>
      <c r="AO203" s="378"/>
      <c r="AP203" s="378"/>
      <c r="AQ203" s="378"/>
      <c r="AR203" s="378"/>
      <c r="AS203" s="378"/>
      <c r="AT203" s="378"/>
      <c r="AU203" s="378"/>
      <c r="AV203" s="378"/>
      <c r="AW203" s="378"/>
      <c r="AX203" s="378"/>
      <c r="AY203" s="378"/>
      <c r="AZ203" s="378"/>
      <c r="BA203" s="378"/>
      <c r="BB203" s="378"/>
      <c r="BC203" s="379"/>
      <c r="BD203" s="295" t="s">
        <v>1221</v>
      </c>
      <c r="BS203" s="86" t="s">
        <v>436</v>
      </c>
      <c r="BT203" s="86" t="s">
        <v>437</v>
      </c>
      <c r="BU203" s="87" t="s">
        <v>1226</v>
      </c>
      <c r="BV203" s="84" t="s">
        <v>1224</v>
      </c>
      <c r="DH203" s="7" t="s">
        <v>1231</v>
      </c>
      <c r="DI203" s="7" t="s">
        <v>384</v>
      </c>
      <c r="DJ203" s="7" t="s">
        <v>458</v>
      </c>
      <c r="DK203" s="7" t="s">
        <v>459</v>
      </c>
      <c r="DL203" s="7" t="s">
        <v>457</v>
      </c>
      <c r="DQ203" s="7" t="s">
        <v>1226</v>
      </c>
      <c r="DR203" s="7" t="s">
        <v>1224</v>
      </c>
      <c r="EL203" s="816" t="s">
        <v>1230</v>
      </c>
      <c r="EM203" s="312" t="s">
        <v>1228</v>
      </c>
      <c r="EN203" s="268" t="s">
        <v>1229</v>
      </c>
      <c r="EO203" s="682">
        <v>0.25</v>
      </c>
      <c r="EP203" s="380">
        <v>1</v>
      </c>
      <c r="EQ203" s="269">
        <v>0</v>
      </c>
      <c r="ER203" s="810">
        <v>0</v>
      </c>
      <c r="ES203" s="270">
        <v>0.5</v>
      </c>
      <c r="ET203" s="821">
        <v>0.5</v>
      </c>
    </row>
    <row r="204" spans="1:150" ht="61.5" customHeight="1" x14ac:dyDescent="0.2">
      <c r="A204" s="271" t="s">
        <v>90</v>
      </c>
      <c r="B204" s="424" t="s">
        <v>91</v>
      </c>
      <c r="C204" s="425" t="s">
        <v>992</v>
      </c>
      <c r="D204" s="425"/>
      <c r="E204" s="8" t="s">
        <v>718</v>
      </c>
      <c r="F204" s="275" t="str">
        <f t="shared" si="153"/>
        <v>E3.P_F</v>
      </c>
      <c r="G204" s="448" t="s">
        <v>307</v>
      </c>
      <c r="H204" s="448" t="s">
        <v>459</v>
      </c>
      <c r="I204" s="452"/>
      <c r="J204" s="453" t="s">
        <v>61</v>
      </c>
      <c r="K204" s="368" t="str">
        <f t="shared" si="154"/>
        <v>E3.P_F.MR1</v>
      </c>
      <c r="L204" s="404" t="s">
        <v>437</v>
      </c>
      <c r="M204" s="405" t="s">
        <v>1219</v>
      </c>
      <c r="N204" s="487">
        <v>0</v>
      </c>
      <c r="O204" s="407">
        <v>0.2</v>
      </c>
      <c r="P204" s="306" t="s">
        <v>112</v>
      </c>
      <c r="Q204" s="284" t="str">
        <f t="shared" si="155"/>
        <v>E3.P_F.MR1-MP04-1</v>
      </c>
      <c r="R204" s="416" t="s">
        <v>1232</v>
      </c>
      <c r="S204" s="308" t="s">
        <v>1233</v>
      </c>
      <c r="T204" s="375">
        <v>20</v>
      </c>
      <c r="U204" s="376">
        <v>20</v>
      </c>
      <c r="V204" s="375" t="s">
        <v>102</v>
      </c>
      <c r="W204" s="289">
        <v>4</v>
      </c>
      <c r="X204" s="290">
        <v>6</v>
      </c>
      <c r="Y204" s="289">
        <v>8</v>
      </c>
      <c r="Z204" s="291">
        <v>2</v>
      </c>
      <c r="AA204" s="377"/>
      <c r="AB204" s="378"/>
      <c r="AC204" s="378"/>
      <c r="AD204" s="378"/>
      <c r="AE204" s="378"/>
      <c r="AF204" s="378"/>
      <c r="AG204" s="378"/>
      <c r="AH204" s="378"/>
      <c r="AI204" s="378"/>
      <c r="AJ204" s="378"/>
      <c r="AK204" s="378"/>
      <c r="AL204" s="378"/>
      <c r="AM204" s="378"/>
      <c r="AN204" s="378"/>
      <c r="AO204" s="378"/>
      <c r="AP204" s="378"/>
      <c r="AQ204" s="378"/>
      <c r="AR204" s="378"/>
      <c r="AS204" s="378"/>
      <c r="AT204" s="378"/>
      <c r="AU204" s="378"/>
      <c r="AV204" s="378"/>
      <c r="AW204" s="378"/>
      <c r="AX204" s="378"/>
      <c r="AY204" s="378"/>
      <c r="AZ204" s="378"/>
      <c r="BA204" s="378"/>
      <c r="BB204" s="378"/>
      <c r="BC204" s="379"/>
      <c r="BD204" s="295" t="s">
        <v>1221</v>
      </c>
      <c r="BS204" s="86" t="s">
        <v>436</v>
      </c>
      <c r="BT204" s="86" t="s">
        <v>437</v>
      </c>
      <c r="BU204" s="87" t="s">
        <v>1230</v>
      </c>
      <c r="BV204" s="84" t="s">
        <v>1228</v>
      </c>
      <c r="DH204" s="7" t="s">
        <v>1235</v>
      </c>
      <c r="DI204" s="7" t="s">
        <v>384</v>
      </c>
      <c r="DJ204" s="7" t="s">
        <v>458</v>
      </c>
      <c r="DK204" s="7" t="s">
        <v>459</v>
      </c>
      <c r="DL204" s="7" t="s">
        <v>457</v>
      </c>
      <c r="DQ204" s="7" t="s">
        <v>1230</v>
      </c>
      <c r="DR204" s="7" t="s">
        <v>1228</v>
      </c>
      <c r="EL204" s="816" t="s">
        <v>1234</v>
      </c>
      <c r="EM204" s="312" t="s">
        <v>1232</v>
      </c>
      <c r="EN204" s="268" t="s">
        <v>1233</v>
      </c>
      <c r="EO204" s="380">
        <v>20</v>
      </c>
      <c r="EP204" s="380">
        <v>20</v>
      </c>
      <c r="EQ204" s="269">
        <v>4</v>
      </c>
      <c r="ER204" s="269">
        <v>6</v>
      </c>
      <c r="ES204" s="808">
        <v>6</v>
      </c>
      <c r="ET204" s="824">
        <v>4</v>
      </c>
    </row>
    <row r="205" spans="1:150" ht="58.5" customHeight="1" thickBot="1" x14ac:dyDescent="0.25">
      <c r="A205" s="271" t="s">
        <v>90</v>
      </c>
      <c r="B205" s="424" t="s">
        <v>91</v>
      </c>
      <c r="C205" s="425" t="s">
        <v>992</v>
      </c>
      <c r="D205" s="425"/>
      <c r="E205" s="8" t="s">
        <v>718</v>
      </c>
      <c r="F205" s="275" t="str">
        <f t="shared" si="153"/>
        <v>E3.P_F</v>
      </c>
      <c r="G205" s="448" t="s">
        <v>307</v>
      </c>
      <c r="H205" s="448" t="s">
        <v>459</v>
      </c>
      <c r="I205" s="458"/>
      <c r="J205" s="459" t="s">
        <v>61</v>
      </c>
      <c r="K205" s="460" t="str">
        <f t="shared" si="154"/>
        <v>E3.P_F.MR1</v>
      </c>
      <c r="L205" s="420" t="s">
        <v>437</v>
      </c>
      <c r="M205" s="421" t="s">
        <v>1219</v>
      </c>
      <c r="N205" s="493">
        <v>0</v>
      </c>
      <c r="O205" s="410">
        <v>0.2</v>
      </c>
      <c r="P205" s="341" t="s">
        <v>122</v>
      </c>
      <c r="Q205" s="342" t="str">
        <f t="shared" si="155"/>
        <v>E3.P_F.MR1-MP05-1</v>
      </c>
      <c r="R205" s="471" t="s">
        <v>1236</v>
      </c>
      <c r="S205" s="331" t="s">
        <v>1237</v>
      </c>
      <c r="T205" s="614">
        <v>1</v>
      </c>
      <c r="U205" s="615">
        <v>1</v>
      </c>
      <c r="V205" s="614" t="s">
        <v>102</v>
      </c>
      <c r="W205" s="497">
        <v>0</v>
      </c>
      <c r="X205" s="498">
        <v>0.33</v>
      </c>
      <c r="Y205" s="499">
        <v>0.33</v>
      </c>
      <c r="Z205" s="631">
        <v>0.34</v>
      </c>
      <c r="AA205" s="377"/>
      <c r="AB205" s="378"/>
      <c r="AC205" s="378"/>
      <c r="AD205" s="378"/>
      <c r="AE205" s="378"/>
      <c r="AF205" s="378"/>
      <c r="AG205" s="378"/>
      <c r="AH205" s="378"/>
      <c r="AI205" s="378"/>
      <c r="AJ205" s="378"/>
      <c r="AK205" s="378"/>
      <c r="AL205" s="378"/>
      <c r="AM205" s="378"/>
      <c r="AN205" s="378"/>
      <c r="AO205" s="378"/>
      <c r="AP205" s="378"/>
      <c r="AQ205" s="378"/>
      <c r="AR205" s="378"/>
      <c r="AS205" s="378"/>
      <c r="AT205" s="378"/>
      <c r="AU205" s="378"/>
      <c r="AV205" s="378"/>
      <c r="AW205" s="378"/>
      <c r="AX205" s="378"/>
      <c r="AY205" s="378"/>
      <c r="AZ205" s="378"/>
      <c r="BA205" s="378"/>
      <c r="BB205" s="378"/>
      <c r="BC205" s="379"/>
      <c r="BD205" s="295" t="s">
        <v>1221</v>
      </c>
      <c r="BS205" s="86" t="s">
        <v>436</v>
      </c>
      <c r="BT205" s="86" t="s">
        <v>437</v>
      </c>
      <c r="BU205" s="87" t="s">
        <v>1234</v>
      </c>
      <c r="BV205" s="84" t="s">
        <v>1232</v>
      </c>
      <c r="DH205" s="7" t="s">
        <v>1239</v>
      </c>
      <c r="DI205" s="7" t="s">
        <v>384</v>
      </c>
      <c r="DJ205" s="7" t="s">
        <v>458</v>
      </c>
      <c r="DK205" s="7" t="s">
        <v>459</v>
      </c>
      <c r="DL205" s="7" t="s">
        <v>457</v>
      </c>
      <c r="DQ205" s="7" t="s">
        <v>1234</v>
      </c>
      <c r="DR205" s="7" t="s">
        <v>1232</v>
      </c>
      <c r="EL205" s="816" t="s">
        <v>1238</v>
      </c>
      <c r="EM205" s="312" t="s">
        <v>1236</v>
      </c>
      <c r="EN205" s="268" t="s">
        <v>1237</v>
      </c>
      <c r="EO205" s="380">
        <v>1</v>
      </c>
      <c r="EP205" s="380">
        <v>1</v>
      </c>
      <c r="EQ205" s="269">
        <v>0</v>
      </c>
      <c r="ER205" s="810">
        <v>0.25</v>
      </c>
      <c r="ES205" s="810">
        <v>0.38</v>
      </c>
      <c r="ET205" s="821">
        <v>0.37</v>
      </c>
    </row>
    <row r="206" spans="1:150" ht="105.75" customHeight="1" x14ac:dyDescent="0.2">
      <c r="A206" s="271" t="s">
        <v>90</v>
      </c>
      <c r="B206" s="424" t="s">
        <v>91</v>
      </c>
      <c r="C206" s="425" t="s">
        <v>992</v>
      </c>
      <c r="D206" s="426" t="s">
        <v>1217</v>
      </c>
      <c r="E206" s="3" t="s">
        <v>752</v>
      </c>
      <c r="F206" s="427" t="str">
        <f t="shared" si="153"/>
        <v>E3.P_G</v>
      </c>
      <c r="G206" s="683" t="s">
        <v>318</v>
      </c>
      <c r="H206" s="684" t="s">
        <v>467</v>
      </c>
      <c r="I206" s="449" t="s">
        <v>1240</v>
      </c>
      <c r="J206" s="450" t="s">
        <v>61</v>
      </c>
      <c r="K206" s="451" t="str">
        <f t="shared" si="154"/>
        <v>E3.P_G.MR1</v>
      </c>
      <c r="L206" s="355" t="s">
        <v>444</v>
      </c>
      <c r="M206" s="356" t="s">
        <v>1241</v>
      </c>
      <c r="N206" s="241">
        <v>5</v>
      </c>
      <c r="O206" s="241">
        <v>5</v>
      </c>
      <c r="P206" s="359" t="s">
        <v>64</v>
      </c>
      <c r="Q206" s="360" t="str">
        <f t="shared" si="155"/>
        <v>E3.P_G.MR1-MP01-1</v>
      </c>
      <c r="R206" s="412" t="s">
        <v>1242</v>
      </c>
      <c r="S206" s="362" t="s">
        <v>1243</v>
      </c>
      <c r="T206" s="363">
        <v>0</v>
      </c>
      <c r="U206" s="364">
        <v>1</v>
      </c>
      <c r="V206" s="363" t="s">
        <v>67</v>
      </c>
      <c r="W206" s="249">
        <v>0</v>
      </c>
      <c r="X206" s="250">
        <v>0.4</v>
      </c>
      <c r="Y206" s="251">
        <v>0.3</v>
      </c>
      <c r="Z206" s="252">
        <v>0.3</v>
      </c>
      <c r="AA206" s="585">
        <v>0</v>
      </c>
      <c r="AB206" s="586">
        <v>0</v>
      </c>
      <c r="AC206" s="586">
        <v>0</v>
      </c>
      <c r="AD206" s="586">
        <v>0</v>
      </c>
      <c r="AE206" s="586">
        <v>0</v>
      </c>
      <c r="AF206" s="586">
        <v>674581000</v>
      </c>
      <c r="AG206" s="586">
        <f t="shared" ref="AG206" si="156">SUM(AA206:AF206)</f>
        <v>674581000</v>
      </c>
      <c r="AH206" s="586"/>
      <c r="AI206" s="586">
        <f>AB206*1.035</f>
        <v>0</v>
      </c>
      <c r="AJ206" s="586"/>
      <c r="AK206" s="586">
        <f>AD206*1.035</f>
        <v>0</v>
      </c>
      <c r="AL206" s="586">
        <f t="shared" ref="AL206" si="157">AE206*1.035</f>
        <v>0</v>
      </c>
      <c r="AM206" s="586">
        <v>713610000</v>
      </c>
      <c r="AN206" s="586">
        <f t="shared" ref="AN206" si="158">SUM(AH206:AM206)</f>
        <v>713610000</v>
      </c>
      <c r="AO206" s="586"/>
      <c r="AP206" s="586">
        <f t="shared" ref="AP206" si="159">AI206*1.035</f>
        <v>0</v>
      </c>
      <c r="AQ206" s="586"/>
      <c r="AR206" s="586">
        <f t="shared" ref="AR206:AS206" si="160">AK206*1.035</f>
        <v>0</v>
      </c>
      <c r="AS206" s="586">
        <f t="shared" si="160"/>
        <v>0</v>
      </c>
      <c r="AT206" s="586">
        <v>749291000</v>
      </c>
      <c r="AU206" s="586">
        <f t="shared" ref="AU206" si="161">SUM(AO206:AT206)</f>
        <v>749291000</v>
      </c>
      <c r="AV206" s="586"/>
      <c r="AW206" s="586">
        <f t="shared" ref="AW206" si="162">AP206*1.035</f>
        <v>0</v>
      </c>
      <c r="AX206" s="586"/>
      <c r="AY206" s="586">
        <f t="shared" ref="AY206:AZ206" si="163">AR206*1.035</f>
        <v>0</v>
      </c>
      <c r="AZ206" s="586">
        <f t="shared" si="163"/>
        <v>0</v>
      </c>
      <c r="BA206" s="586">
        <v>754803000</v>
      </c>
      <c r="BB206" s="586">
        <f t="shared" ref="BB206" si="164">SUM(AV206:BA206)</f>
        <v>754803000</v>
      </c>
      <c r="BC206" s="654">
        <f t="shared" ref="BC206" si="165">+BB206+AU206+AN206+AG206</f>
        <v>2892285000</v>
      </c>
      <c r="BD206" s="295" t="s">
        <v>1221</v>
      </c>
      <c r="BS206" s="86" t="s">
        <v>436</v>
      </c>
      <c r="BT206" s="86" t="s">
        <v>437</v>
      </c>
      <c r="BU206" s="87" t="s">
        <v>1238</v>
      </c>
      <c r="BV206" s="84" t="s">
        <v>1236</v>
      </c>
      <c r="DH206" s="7" t="s">
        <v>1245</v>
      </c>
      <c r="DI206" s="7" t="s">
        <v>384</v>
      </c>
      <c r="DJ206" s="7" t="s">
        <v>458</v>
      </c>
      <c r="DK206" s="7" t="s">
        <v>459</v>
      </c>
      <c r="DL206" s="7" t="s">
        <v>457</v>
      </c>
      <c r="DQ206" s="7" t="s">
        <v>1238</v>
      </c>
      <c r="DR206" s="7" t="s">
        <v>1236</v>
      </c>
      <c r="EL206" s="822" t="s">
        <v>1244</v>
      </c>
      <c r="EM206" s="312" t="s">
        <v>1242</v>
      </c>
      <c r="EN206" s="268" t="s">
        <v>1243</v>
      </c>
      <c r="EO206" s="268">
        <v>0</v>
      </c>
      <c r="EP206" s="268">
        <v>1</v>
      </c>
      <c r="EQ206" s="269">
        <v>0</v>
      </c>
      <c r="ER206" s="809">
        <v>0</v>
      </c>
      <c r="ES206" s="809">
        <v>0.5</v>
      </c>
      <c r="ET206" s="818">
        <v>0.5</v>
      </c>
    </row>
    <row r="207" spans="1:150" ht="54.75" customHeight="1" x14ac:dyDescent="0.2">
      <c r="A207" s="271" t="s">
        <v>90</v>
      </c>
      <c r="B207" s="424" t="s">
        <v>91</v>
      </c>
      <c r="C207" s="425" t="s">
        <v>992</v>
      </c>
      <c r="D207" s="425"/>
      <c r="E207" s="8" t="s">
        <v>752</v>
      </c>
      <c r="F207" s="275" t="str">
        <f t="shared" si="153"/>
        <v>E3.P_G</v>
      </c>
      <c r="G207" s="685" t="s">
        <v>318</v>
      </c>
      <c r="H207" s="685" t="s">
        <v>467</v>
      </c>
      <c r="I207" s="452"/>
      <c r="J207" s="453" t="s">
        <v>61</v>
      </c>
      <c r="K207" s="368" t="str">
        <f t="shared" si="154"/>
        <v>E3.P_G.MR1</v>
      </c>
      <c r="L207" s="404" t="s">
        <v>444</v>
      </c>
      <c r="M207" s="405" t="s">
        <v>1241</v>
      </c>
      <c r="N207" s="282">
        <v>5</v>
      </c>
      <c r="O207" s="282">
        <v>5</v>
      </c>
      <c r="P207" s="371" t="s">
        <v>87</v>
      </c>
      <c r="Q207" s="372" t="str">
        <f t="shared" si="155"/>
        <v>E3.P_G.MR1-MP02-1</v>
      </c>
      <c r="R207" s="416" t="s">
        <v>1246</v>
      </c>
      <c r="S207" s="308" t="s">
        <v>874</v>
      </c>
      <c r="T207" s="287">
        <v>1</v>
      </c>
      <c r="U207" s="288">
        <v>1</v>
      </c>
      <c r="V207" s="287" t="s">
        <v>102</v>
      </c>
      <c r="W207" s="309">
        <v>0.2</v>
      </c>
      <c r="X207" s="324">
        <v>0.3</v>
      </c>
      <c r="Y207" s="309">
        <v>0.3</v>
      </c>
      <c r="Z207" s="310">
        <v>0.2</v>
      </c>
      <c r="AA207" s="292"/>
      <c r="AB207" s="293"/>
      <c r="AC207" s="293"/>
      <c r="AD207" s="293"/>
      <c r="AE207" s="293"/>
      <c r="AF207" s="293"/>
      <c r="AG207" s="293"/>
      <c r="AH207" s="293"/>
      <c r="AI207" s="293"/>
      <c r="AJ207" s="293"/>
      <c r="AK207" s="293"/>
      <c r="AL207" s="293"/>
      <c r="AM207" s="293"/>
      <c r="AN207" s="293"/>
      <c r="AO207" s="293"/>
      <c r="AP207" s="293"/>
      <c r="AQ207" s="293"/>
      <c r="AR207" s="293"/>
      <c r="AS207" s="293"/>
      <c r="AT207" s="293"/>
      <c r="AU207" s="293"/>
      <c r="AV207" s="293"/>
      <c r="AW207" s="293"/>
      <c r="AX207" s="293"/>
      <c r="AY207" s="293"/>
      <c r="AZ207" s="293"/>
      <c r="BA207" s="293"/>
      <c r="BB207" s="293"/>
      <c r="BC207" s="294"/>
      <c r="BD207" s="295" t="s">
        <v>1221</v>
      </c>
      <c r="BS207" s="84" t="s">
        <v>443</v>
      </c>
      <c r="BT207" s="84" t="s">
        <v>444</v>
      </c>
      <c r="BU207" s="92" t="s">
        <v>1244</v>
      </c>
      <c r="BV207" s="84" t="s">
        <v>1242</v>
      </c>
      <c r="DH207" s="7" t="s">
        <v>1248</v>
      </c>
      <c r="DI207" s="7" t="s">
        <v>384</v>
      </c>
      <c r="DJ207" s="7" t="s">
        <v>466</v>
      </c>
      <c r="DK207" s="7" t="s">
        <v>467</v>
      </c>
      <c r="DL207" s="7" t="s">
        <v>465</v>
      </c>
      <c r="DQ207" s="7" t="s">
        <v>1244</v>
      </c>
      <c r="DR207" s="7" t="s">
        <v>1242</v>
      </c>
      <c r="EL207" s="822" t="s">
        <v>1247</v>
      </c>
      <c r="EM207" s="312" t="s">
        <v>1246</v>
      </c>
      <c r="EN207" s="268" t="s">
        <v>874</v>
      </c>
      <c r="EO207" s="268">
        <v>1</v>
      </c>
      <c r="EP207" s="268">
        <v>1</v>
      </c>
      <c r="EQ207" s="270">
        <v>0.2</v>
      </c>
      <c r="ER207" s="270">
        <v>0.3</v>
      </c>
      <c r="ES207" s="270">
        <v>0.3</v>
      </c>
      <c r="ET207" s="823">
        <v>0.2</v>
      </c>
    </row>
    <row r="208" spans="1:150" ht="53.25" customHeight="1" x14ac:dyDescent="0.2">
      <c r="A208" s="271" t="s">
        <v>90</v>
      </c>
      <c r="B208" s="424" t="s">
        <v>91</v>
      </c>
      <c r="C208" s="425" t="s">
        <v>992</v>
      </c>
      <c r="D208" s="425"/>
      <c r="E208" s="8" t="s">
        <v>752</v>
      </c>
      <c r="F208" s="275" t="str">
        <f t="shared" si="153"/>
        <v>E3.P_G</v>
      </c>
      <c r="G208" s="685" t="s">
        <v>318</v>
      </c>
      <c r="H208" s="685" t="s">
        <v>467</v>
      </c>
      <c r="I208" s="452"/>
      <c r="J208" s="453" t="s">
        <v>61</v>
      </c>
      <c r="K208" s="368" t="str">
        <f t="shared" si="154"/>
        <v>E3.P_G.MR1</v>
      </c>
      <c r="L208" s="404" t="s">
        <v>444</v>
      </c>
      <c r="M208" s="405" t="s">
        <v>1241</v>
      </c>
      <c r="N208" s="282">
        <v>5</v>
      </c>
      <c r="O208" s="282">
        <v>5</v>
      </c>
      <c r="P208" s="371" t="s">
        <v>99</v>
      </c>
      <c r="Q208" s="372" t="str">
        <f t="shared" si="155"/>
        <v>E3.P_G.MR1-MP03-1</v>
      </c>
      <c r="R208" s="416" t="s">
        <v>1249</v>
      </c>
      <c r="S208" s="308" t="s">
        <v>1250</v>
      </c>
      <c r="T208" s="375">
        <v>24</v>
      </c>
      <c r="U208" s="376">
        <v>80</v>
      </c>
      <c r="V208" s="375" t="s">
        <v>67</v>
      </c>
      <c r="W208" s="289">
        <v>0</v>
      </c>
      <c r="X208" s="290">
        <v>30</v>
      </c>
      <c r="Y208" s="289">
        <v>30</v>
      </c>
      <c r="Z208" s="291">
        <v>20</v>
      </c>
      <c r="AA208" s="377"/>
      <c r="AB208" s="378"/>
      <c r="AC208" s="378"/>
      <c r="AD208" s="378"/>
      <c r="AE208" s="378"/>
      <c r="AF208" s="378"/>
      <c r="AG208" s="378"/>
      <c r="AH208" s="378"/>
      <c r="AI208" s="378"/>
      <c r="AJ208" s="378"/>
      <c r="AK208" s="378"/>
      <c r="AL208" s="378"/>
      <c r="AM208" s="378"/>
      <c r="AN208" s="378"/>
      <c r="AO208" s="378"/>
      <c r="AP208" s="378"/>
      <c r="AQ208" s="378"/>
      <c r="AR208" s="378"/>
      <c r="AS208" s="378"/>
      <c r="AT208" s="378"/>
      <c r="AU208" s="378"/>
      <c r="AV208" s="378"/>
      <c r="AW208" s="378"/>
      <c r="AX208" s="378"/>
      <c r="AY208" s="378"/>
      <c r="AZ208" s="378"/>
      <c r="BA208" s="378"/>
      <c r="BB208" s="378"/>
      <c r="BC208" s="379"/>
      <c r="BD208" s="295" t="s">
        <v>1221</v>
      </c>
      <c r="BS208" s="86" t="s">
        <v>443</v>
      </c>
      <c r="BT208" s="86" t="s">
        <v>444</v>
      </c>
      <c r="BU208" s="92" t="s">
        <v>1247</v>
      </c>
      <c r="BV208" s="84" t="s">
        <v>1246</v>
      </c>
      <c r="DH208" s="7" t="s">
        <v>1252</v>
      </c>
      <c r="DI208" s="7" t="s">
        <v>384</v>
      </c>
      <c r="DJ208" s="7" t="s">
        <v>466</v>
      </c>
      <c r="DK208" s="7" t="s">
        <v>467</v>
      </c>
      <c r="DL208" s="7" t="s">
        <v>465</v>
      </c>
      <c r="DQ208" s="7" t="s">
        <v>1247</v>
      </c>
      <c r="DR208" s="7" t="s">
        <v>1246</v>
      </c>
      <c r="EL208" s="822" t="s">
        <v>1251</v>
      </c>
      <c r="EM208" s="312" t="s">
        <v>1249</v>
      </c>
      <c r="EN208" s="268" t="s">
        <v>1250</v>
      </c>
      <c r="EO208" s="380">
        <v>24</v>
      </c>
      <c r="EP208" s="380">
        <v>80</v>
      </c>
      <c r="EQ208" s="269">
        <v>0</v>
      </c>
      <c r="ER208" s="808">
        <v>4</v>
      </c>
      <c r="ES208" s="808">
        <v>26</v>
      </c>
      <c r="ET208" s="824">
        <v>26</v>
      </c>
    </row>
    <row r="209" spans="1:152" ht="50.25" customHeight="1" x14ac:dyDescent="0.2">
      <c r="A209" s="271" t="s">
        <v>90</v>
      </c>
      <c r="B209" s="424" t="s">
        <v>91</v>
      </c>
      <c r="C209" s="425" t="s">
        <v>992</v>
      </c>
      <c r="D209" s="425"/>
      <c r="E209" s="8" t="s">
        <v>752</v>
      </c>
      <c r="F209" s="275" t="str">
        <f t="shared" si="153"/>
        <v>E3.P_G</v>
      </c>
      <c r="G209" s="685" t="s">
        <v>318</v>
      </c>
      <c r="H209" s="685" t="s">
        <v>467</v>
      </c>
      <c r="I209" s="452"/>
      <c r="J209" s="453" t="s">
        <v>61</v>
      </c>
      <c r="K209" s="368" t="str">
        <f t="shared" si="154"/>
        <v>E3.P_G.MR1</v>
      </c>
      <c r="L209" s="404" t="s">
        <v>444</v>
      </c>
      <c r="M209" s="405" t="s">
        <v>1241</v>
      </c>
      <c r="N209" s="282">
        <v>5</v>
      </c>
      <c r="O209" s="282">
        <v>5</v>
      </c>
      <c r="P209" s="371" t="s">
        <v>112</v>
      </c>
      <c r="Q209" s="372" t="str">
        <f t="shared" si="155"/>
        <v>E3.P_G.MR1-MP04-1</v>
      </c>
      <c r="R209" s="416" t="s">
        <v>1253</v>
      </c>
      <c r="S209" s="308" t="s">
        <v>1254</v>
      </c>
      <c r="T209" s="375">
        <v>51</v>
      </c>
      <c r="U209" s="376">
        <v>65</v>
      </c>
      <c r="V209" s="375" t="s">
        <v>67</v>
      </c>
      <c r="W209" s="289">
        <v>0</v>
      </c>
      <c r="X209" s="290">
        <v>5</v>
      </c>
      <c r="Y209" s="289">
        <v>6</v>
      </c>
      <c r="Z209" s="291">
        <v>3</v>
      </c>
      <c r="AA209" s="377"/>
      <c r="AB209" s="378"/>
      <c r="AC209" s="378"/>
      <c r="AD209" s="378"/>
      <c r="AE209" s="378"/>
      <c r="AF209" s="378"/>
      <c r="AG209" s="378"/>
      <c r="AH209" s="378"/>
      <c r="AI209" s="378"/>
      <c r="AJ209" s="378"/>
      <c r="AK209" s="378"/>
      <c r="AL209" s="378"/>
      <c r="AM209" s="378"/>
      <c r="AN209" s="378"/>
      <c r="AO209" s="378"/>
      <c r="AP209" s="378"/>
      <c r="AQ209" s="378"/>
      <c r="AR209" s="378"/>
      <c r="AS209" s="378"/>
      <c r="AT209" s="378"/>
      <c r="AU209" s="378"/>
      <c r="AV209" s="378"/>
      <c r="AW209" s="378"/>
      <c r="AX209" s="378"/>
      <c r="AY209" s="378"/>
      <c r="AZ209" s="378"/>
      <c r="BA209" s="378"/>
      <c r="BB209" s="378"/>
      <c r="BC209" s="379"/>
      <c r="BD209" s="295" t="s">
        <v>1221</v>
      </c>
      <c r="BS209" s="86" t="s">
        <v>443</v>
      </c>
      <c r="BT209" s="86" t="s">
        <v>444</v>
      </c>
      <c r="BU209" s="92" t="s">
        <v>1251</v>
      </c>
      <c r="BV209" s="84" t="s">
        <v>1249</v>
      </c>
      <c r="DH209" s="7" t="s">
        <v>1256</v>
      </c>
      <c r="DI209" s="7" t="s">
        <v>384</v>
      </c>
      <c r="DJ209" s="7" t="s">
        <v>466</v>
      </c>
      <c r="DK209" s="7" t="s">
        <v>467</v>
      </c>
      <c r="DL209" s="7" t="s">
        <v>465</v>
      </c>
      <c r="DQ209" s="7" t="s">
        <v>1251</v>
      </c>
      <c r="DR209" s="7" t="s">
        <v>1249</v>
      </c>
      <c r="EL209" s="822" t="s">
        <v>1255</v>
      </c>
      <c r="EM209" s="312" t="s">
        <v>1253</v>
      </c>
      <c r="EN209" s="268" t="s">
        <v>1254</v>
      </c>
      <c r="EO209" s="831">
        <v>51</v>
      </c>
      <c r="EP209" s="831">
        <v>65</v>
      </c>
      <c r="EQ209" s="803">
        <v>0</v>
      </c>
      <c r="ER209" s="808">
        <v>3</v>
      </c>
      <c r="ES209" s="803">
        <v>6</v>
      </c>
      <c r="ET209" s="824">
        <v>5</v>
      </c>
      <c r="EV209" s="655"/>
    </row>
    <row r="210" spans="1:152" ht="40.5" customHeight="1" thickBot="1" x14ac:dyDescent="0.25">
      <c r="A210" s="271" t="s">
        <v>90</v>
      </c>
      <c r="B210" s="424" t="s">
        <v>91</v>
      </c>
      <c r="C210" s="425" t="s">
        <v>992</v>
      </c>
      <c r="D210" s="425"/>
      <c r="E210" s="8" t="s">
        <v>752</v>
      </c>
      <c r="F210" s="275" t="str">
        <f t="shared" si="153"/>
        <v>E3.P_G</v>
      </c>
      <c r="G210" s="686" t="s">
        <v>318</v>
      </c>
      <c r="H210" s="686" t="s">
        <v>467</v>
      </c>
      <c r="I210" s="458"/>
      <c r="J210" s="459" t="s">
        <v>61</v>
      </c>
      <c r="K210" s="460" t="str">
        <f t="shared" si="154"/>
        <v>E3.P_G.MR1</v>
      </c>
      <c r="L210" s="420" t="s">
        <v>444</v>
      </c>
      <c r="M210" s="421" t="s">
        <v>1241</v>
      </c>
      <c r="N210" s="422">
        <v>5</v>
      </c>
      <c r="O210" s="422">
        <v>5</v>
      </c>
      <c r="P210" s="385" t="s">
        <v>122</v>
      </c>
      <c r="Q210" s="386" t="str">
        <f t="shared" si="155"/>
        <v>E3.P_G.MR1-MP05-1</v>
      </c>
      <c r="R210" s="471" t="s">
        <v>1257</v>
      </c>
      <c r="S210" s="331" t="s">
        <v>1258</v>
      </c>
      <c r="T210" s="614">
        <v>0</v>
      </c>
      <c r="U210" s="615">
        <v>1</v>
      </c>
      <c r="V210" s="387" t="s">
        <v>67</v>
      </c>
      <c r="W210" s="347">
        <v>0</v>
      </c>
      <c r="X210" s="616">
        <v>0.2</v>
      </c>
      <c r="Y210" s="397">
        <v>0.5</v>
      </c>
      <c r="Z210" s="398">
        <v>0.3</v>
      </c>
      <c r="AA210" s="377"/>
      <c r="AB210" s="378"/>
      <c r="AC210" s="378"/>
      <c r="AD210" s="378"/>
      <c r="AE210" s="378"/>
      <c r="AF210" s="378"/>
      <c r="AG210" s="378"/>
      <c r="AH210" s="378"/>
      <c r="AI210" s="378"/>
      <c r="AJ210" s="378"/>
      <c r="AK210" s="378"/>
      <c r="AL210" s="378"/>
      <c r="AM210" s="378"/>
      <c r="AN210" s="378"/>
      <c r="AO210" s="378"/>
      <c r="AP210" s="378"/>
      <c r="AQ210" s="378"/>
      <c r="AR210" s="378"/>
      <c r="AS210" s="378"/>
      <c r="AT210" s="378"/>
      <c r="AU210" s="378"/>
      <c r="AV210" s="378"/>
      <c r="AW210" s="378"/>
      <c r="AX210" s="378"/>
      <c r="AY210" s="378"/>
      <c r="AZ210" s="378"/>
      <c r="BA210" s="378"/>
      <c r="BB210" s="378"/>
      <c r="BC210" s="379"/>
      <c r="BD210" s="295" t="s">
        <v>1221</v>
      </c>
      <c r="BS210" s="86" t="s">
        <v>443</v>
      </c>
      <c r="BT210" s="86" t="s">
        <v>444</v>
      </c>
      <c r="BU210" s="92" t="s">
        <v>1255</v>
      </c>
      <c r="BV210" s="84" t="s">
        <v>1253</v>
      </c>
      <c r="DH210" s="7" t="s">
        <v>1260</v>
      </c>
      <c r="DI210" s="7" t="s">
        <v>384</v>
      </c>
      <c r="DJ210" s="7" t="s">
        <v>466</v>
      </c>
      <c r="DK210" s="7" t="s">
        <v>467</v>
      </c>
      <c r="DL210" s="7" t="s">
        <v>465</v>
      </c>
      <c r="DQ210" s="7" t="s">
        <v>1255</v>
      </c>
      <c r="DR210" s="7" t="s">
        <v>1253</v>
      </c>
      <c r="EL210" s="822" t="s">
        <v>1259</v>
      </c>
      <c r="EM210" s="312" t="s">
        <v>1257</v>
      </c>
      <c r="EN210" s="268" t="s">
        <v>1258</v>
      </c>
      <c r="EO210" s="380">
        <v>0</v>
      </c>
      <c r="EP210" s="380">
        <v>1</v>
      </c>
      <c r="EQ210" s="269">
        <v>0</v>
      </c>
      <c r="ER210" s="270">
        <v>0.2</v>
      </c>
      <c r="ES210" s="270">
        <v>0.5</v>
      </c>
      <c r="ET210" s="823">
        <v>0.3</v>
      </c>
    </row>
    <row r="211" spans="1:152" ht="156" customHeight="1" x14ac:dyDescent="0.2">
      <c r="A211" s="271" t="s">
        <v>90</v>
      </c>
      <c r="B211" s="424" t="s">
        <v>91</v>
      </c>
      <c r="C211" s="425" t="s">
        <v>992</v>
      </c>
      <c r="D211" s="426" t="s">
        <v>1217</v>
      </c>
      <c r="E211" s="3" t="s">
        <v>772</v>
      </c>
      <c r="F211" s="427" t="str">
        <f t="shared" si="153"/>
        <v>E3.P_H</v>
      </c>
      <c r="G211" s="687" t="s">
        <v>332</v>
      </c>
      <c r="H211" s="688" t="s">
        <v>475</v>
      </c>
      <c r="I211" s="689" t="s">
        <v>1261</v>
      </c>
      <c r="J211" s="450" t="s">
        <v>61</v>
      </c>
      <c r="K211" s="451" t="str">
        <f t="shared" si="154"/>
        <v>E3.P_H.MR1</v>
      </c>
      <c r="L211" s="355" t="s">
        <v>455</v>
      </c>
      <c r="M211" s="356" t="s">
        <v>1262</v>
      </c>
      <c r="N211" s="357">
        <v>41</v>
      </c>
      <c r="O211" s="241">
        <v>341</v>
      </c>
      <c r="P211" s="359" t="s">
        <v>64</v>
      </c>
      <c r="Q211" s="360" t="str">
        <f t="shared" si="155"/>
        <v>E3.P_H.MR1-MP01-1</v>
      </c>
      <c r="R211" s="617" t="s">
        <v>1263</v>
      </c>
      <c r="S211" s="515" t="s">
        <v>1264</v>
      </c>
      <c r="T211" s="516">
        <v>1</v>
      </c>
      <c r="U211" s="517">
        <v>1</v>
      </c>
      <c r="V211" s="516" t="s">
        <v>102</v>
      </c>
      <c r="W211" s="518">
        <v>0</v>
      </c>
      <c r="X211" s="621">
        <v>0.5</v>
      </c>
      <c r="Y211" s="620">
        <v>0.4</v>
      </c>
      <c r="Z211" s="622">
        <v>0.1</v>
      </c>
      <c r="AA211" s="585">
        <v>50000000</v>
      </c>
      <c r="AB211" s="586">
        <v>0</v>
      </c>
      <c r="AC211" s="586">
        <v>1450000000</v>
      </c>
      <c r="AD211" s="586">
        <v>0</v>
      </c>
      <c r="AE211" s="586">
        <v>0</v>
      </c>
      <c r="AF211" s="586">
        <v>0</v>
      </c>
      <c r="AG211" s="586">
        <f t="shared" ref="AG211" si="166">SUM(AA211:AF211)</f>
        <v>1500000000</v>
      </c>
      <c r="AH211" s="586">
        <v>145000000</v>
      </c>
      <c r="AI211" s="586">
        <f>+AB211</f>
        <v>0</v>
      </c>
      <c r="AJ211" s="586">
        <v>950500000</v>
      </c>
      <c r="AK211" s="586">
        <f t="shared" ref="AK211:AM211" si="167">+AD211</f>
        <v>0</v>
      </c>
      <c r="AL211" s="586">
        <f t="shared" si="167"/>
        <v>0</v>
      </c>
      <c r="AM211" s="586">
        <f t="shared" si="167"/>
        <v>0</v>
      </c>
      <c r="AN211" s="586">
        <f t="shared" ref="AN211" si="168">SUM(AH211:AM211)</f>
        <v>1095500000</v>
      </c>
      <c r="AO211" s="586">
        <v>115500000</v>
      </c>
      <c r="AP211" s="586">
        <f>+AI211</f>
        <v>0</v>
      </c>
      <c r="AQ211" s="586">
        <v>1474500000</v>
      </c>
      <c r="AR211" s="586">
        <f>+AK211</f>
        <v>0</v>
      </c>
      <c r="AS211" s="586">
        <f>+AL211</f>
        <v>0</v>
      </c>
      <c r="AT211" s="586">
        <f>+AM211</f>
        <v>0</v>
      </c>
      <c r="AU211" s="586">
        <f t="shared" ref="AU211" si="169">SUM(AO211:AT211)</f>
        <v>1590000000</v>
      </c>
      <c r="AV211" s="586">
        <v>170000000</v>
      </c>
      <c r="AW211" s="586">
        <f>+AP211</f>
        <v>0</v>
      </c>
      <c r="AX211" s="586">
        <v>450000000</v>
      </c>
      <c r="AY211" s="586">
        <f>+AR211</f>
        <v>0</v>
      </c>
      <c r="AZ211" s="586">
        <f>+AS211</f>
        <v>0</v>
      </c>
      <c r="BA211" s="586">
        <v>0</v>
      </c>
      <c r="BB211" s="586">
        <f t="shared" ref="BB211" si="170">SUM(AV211:BA211)</f>
        <v>620000000</v>
      </c>
      <c r="BC211" s="654">
        <f t="shared" ref="BC211" si="171">+BB211+AU211+AN211+AG211</f>
        <v>4805500000</v>
      </c>
      <c r="BD211" s="295" t="s">
        <v>1221</v>
      </c>
      <c r="BS211" s="86" t="s">
        <v>443</v>
      </c>
      <c r="BT211" s="86" t="s">
        <v>444</v>
      </c>
      <c r="BU211" s="92" t="s">
        <v>1259</v>
      </c>
      <c r="BV211" s="84" t="s">
        <v>1257</v>
      </c>
      <c r="DH211" s="7" t="s">
        <v>1266</v>
      </c>
      <c r="DI211" s="7" t="s">
        <v>384</v>
      </c>
      <c r="DJ211" s="7" t="s">
        <v>466</v>
      </c>
      <c r="DK211" s="7" t="s">
        <v>467</v>
      </c>
      <c r="DL211" s="7" t="s">
        <v>465</v>
      </c>
      <c r="DQ211" s="7" t="s">
        <v>1259</v>
      </c>
      <c r="DR211" s="7" t="s">
        <v>1257</v>
      </c>
      <c r="EL211" s="822" t="s">
        <v>1265</v>
      </c>
      <c r="EM211" s="312" t="s">
        <v>1263</v>
      </c>
      <c r="EN211" s="268" t="s">
        <v>1264</v>
      </c>
      <c r="EO211" s="268">
        <v>1</v>
      </c>
      <c r="EP211" s="268">
        <v>1</v>
      </c>
      <c r="EQ211" s="269">
        <v>0</v>
      </c>
      <c r="ER211" s="810">
        <v>0.25</v>
      </c>
      <c r="ES211" s="809">
        <v>0.5</v>
      </c>
      <c r="ET211" s="821">
        <v>0.25</v>
      </c>
    </row>
    <row r="212" spans="1:152" ht="87.75" customHeight="1" x14ac:dyDescent="0.2">
      <c r="A212" s="271" t="s">
        <v>90</v>
      </c>
      <c r="B212" s="424" t="s">
        <v>91</v>
      </c>
      <c r="C212" s="425" t="s">
        <v>992</v>
      </c>
      <c r="D212" s="425"/>
      <c r="E212" s="8" t="s">
        <v>772</v>
      </c>
      <c r="F212" s="275" t="str">
        <f t="shared" si="153"/>
        <v>E3.P_H</v>
      </c>
      <c r="G212" s="685" t="s">
        <v>332</v>
      </c>
      <c r="H212" s="685" t="s">
        <v>475</v>
      </c>
      <c r="I212" s="452"/>
      <c r="J212" s="453" t="s">
        <v>61</v>
      </c>
      <c r="K212" s="368" t="str">
        <f t="shared" si="154"/>
        <v>E3.P_H.MR1</v>
      </c>
      <c r="L212" s="404" t="s">
        <v>455</v>
      </c>
      <c r="M212" s="405" t="s">
        <v>1262</v>
      </c>
      <c r="N212" s="369">
        <v>41</v>
      </c>
      <c r="O212" s="282">
        <v>341</v>
      </c>
      <c r="P212" s="372" t="s">
        <v>87</v>
      </c>
      <c r="Q212" s="372" t="str">
        <f t="shared" si="155"/>
        <v>E3.P_H.MR1-MP02-1</v>
      </c>
      <c r="R212" s="623" t="s">
        <v>1267</v>
      </c>
      <c r="S212" s="524" t="s">
        <v>1268</v>
      </c>
      <c r="T212" s="525">
        <v>0</v>
      </c>
      <c r="U212" s="526">
        <v>1</v>
      </c>
      <c r="V212" s="525" t="s">
        <v>67</v>
      </c>
      <c r="W212" s="529">
        <v>0</v>
      </c>
      <c r="X212" s="541">
        <v>0.35</v>
      </c>
      <c r="Y212" s="540">
        <v>0.35</v>
      </c>
      <c r="Z212" s="536">
        <v>0.3</v>
      </c>
      <c r="AA212" s="531"/>
      <c r="AB212" s="532"/>
      <c r="AC212" s="532"/>
      <c r="AD212" s="532"/>
      <c r="AE212" s="532"/>
      <c r="AF212" s="532"/>
      <c r="AG212" s="532"/>
      <c r="AH212" s="532"/>
      <c r="AI212" s="532"/>
      <c r="AJ212" s="532"/>
      <c r="AK212" s="532"/>
      <c r="AL212" s="532"/>
      <c r="AM212" s="532"/>
      <c r="AN212" s="532"/>
      <c r="AO212" s="532"/>
      <c r="AP212" s="532"/>
      <c r="AQ212" s="532"/>
      <c r="AR212" s="532"/>
      <c r="AS212" s="532"/>
      <c r="AT212" s="532"/>
      <c r="AU212" s="532"/>
      <c r="AV212" s="532"/>
      <c r="AW212" s="532"/>
      <c r="AX212" s="532"/>
      <c r="AY212" s="532"/>
      <c r="AZ212" s="532"/>
      <c r="BA212" s="532"/>
      <c r="BB212" s="532"/>
      <c r="BC212" s="533"/>
      <c r="BD212" s="295" t="s">
        <v>1221</v>
      </c>
      <c r="BS212" s="84" t="s">
        <v>454</v>
      </c>
      <c r="BT212" s="84" t="s">
        <v>455</v>
      </c>
      <c r="BU212" s="87" t="s">
        <v>1265</v>
      </c>
      <c r="BV212" s="84" t="s">
        <v>1263</v>
      </c>
      <c r="DH212" s="7" t="s">
        <v>1270</v>
      </c>
      <c r="DI212" s="7" t="s">
        <v>384</v>
      </c>
      <c r="DJ212" s="7" t="s">
        <v>474</v>
      </c>
      <c r="DK212" s="7" t="s">
        <v>475</v>
      </c>
      <c r="DL212" s="7" t="s">
        <v>473</v>
      </c>
      <c r="DQ212" s="7" t="s">
        <v>1265</v>
      </c>
      <c r="DR212" s="7" t="s">
        <v>1263</v>
      </c>
      <c r="EL212" s="822" t="s">
        <v>1269</v>
      </c>
      <c r="EM212" s="312" t="s">
        <v>1267</v>
      </c>
      <c r="EN212" s="268" t="s">
        <v>1268</v>
      </c>
      <c r="EO212" s="268">
        <v>0</v>
      </c>
      <c r="EP212" s="268">
        <v>1</v>
      </c>
      <c r="EQ212" s="270">
        <v>0.1</v>
      </c>
      <c r="ER212" s="810">
        <v>0.9</v>
      </c>
      <c r="ES212" s="323">
        <v>0</v>
      </c>
      <c r="ET212" s="823">
        <v>0</v>
      </c>
    </row>
    <row r="213" spans="1:152" ht="51" customHeight="1" x14ac:dyDescent="0.2">
      <c r="A213" s="271" t="s">
        <v>90</v>
      </c>
      <c r="B213" s="424" t="s">
        <v>91</v>
      </c>
      <c r="C213" s="425" t="s">
        <v>992</v>
      </c>
      <c r="D213" s="425"/>
      <c r="E213" s="8" t="s">
        <v>772</v>
      </c>
      <c r="F213" s="275" t="str">
        <f t="shared" si="153"/>
        <v>E3.P_H</v>
      </c>
      <c r="G213" s="685" t="s">
        <v>332</v>
      </c>
      <c r="H213" s="685" t="s">
        <v>475</v>
      </c>
      <c r="I213" s="452"/>
      <c r="J213" s="453" t="s">
        <v>61</v>
      </c>
      <c r="K213" s="368" t="str">
        <f t="shared" si="154"/>
        <v>E3.P_H.MR1</v>
      </c>
      <c r="L213" s="404" t="s">
        <v>455</v>
      </c>
      <c r="M213" s="405" t="s">
        <v>1262</v>
      </c>
      <c r="N213" s="369">
        <v>41</v>
      </c>
      <c r="O213" s="282">
        <v>341</v>
      </c>
      <c r="P213" s="372" t="s">
        <v>1271</v>
      </c>
      <c r="Q213" s="372" t="str">
        <f t="shared" si="155"/>
        <v>E3.P_H.MR1-MP02-2</v>
      </c>
      <c r="R213" s="623" t="s">
        <v>1267</v>
      </c>
      <c r="S213" s="524" t="s">
        <v>1272</v>
      </c>
      <c r="T213" s="525">
        <v>0</v>
      </c>
      <c r="U213" s="526">
        <v>1</v>
      </c>
      <c r="V213" s="525" t="s">
        <v>67</v>
      </c>
      <c r="W213" s="540">
        <v>0.25</v>
      </c>
      <c r="X213" s="541">
        <v>0.25</v>
      </c>
      <c r="Y213" s="540">
        <v>0.25</v>
      </c>
      <c r="Z213" s="542">
        <v>0.25</v>
      </c>
      <c r="AA213" s="531"/>
      <c r="AB213" s="532"/>
      <c r="AC213" s="532"/>
      <c r="AD213" s="532"/>
      <c r="AE213" s="532"/>
      <c r="AF213" s="532"/>
      <c r="AG213" s="532"/>
      <c r="AH213" s="532"/>
      <c r="AI213" s="532"/>
      <c r="AJ213" s="532"/>
      <c r="AK213" s="532"/>
      <c r="AL213" s="532"/>
      <c r="AM213" s="532"/>
      <c r="AN213" s="532"/>
      <c r="AO213" s="532"/>
      <c r="AP213" s="532"/>
      <c r="AQ213" s="532"/>
      <c r="AR213" s="532"/>
      <c r="AS213" s="532"/>
      <c r="AT213" s="532"/>
      <c r="AU213" s="532"/>
      <c r="AV213" s="532"/>
      <c r="AW213" s="532"/>
      <c r="AX213" s="532"/>
      <c r="AY213" s="532"/>
      <c r="AZ213" s="532"/>
      <c r="BA213" s="532"/>
      <c r="BB213" s="532"/>
      <c r="BC213" s="533"/>
      <c r="BD213" s="295" t="s">
        <v>1221</v>
      </c>
      <c r="BS213" s="86" t="s">
        <v>454</v>
      </c>
      <c r="BT213" s="86" t="s">
        <v>455</v>
      </c>
      <c r="BU213" s="87" t="s">
        <v>1269</v>
      </c>
      <c r="BV213" s="84" t="s">
        <v>1267</v>
      </c>
      <c r="DH213" s="7" t="s">
        <v>1274</v>
      </c>
      <c r="DI213" s="7" t="s">
        <v>384</v>
      </c>
      <c r="DJ213" s="7" t="s">
        <v>474</v>
      </c>
      <c r="DK213" s="7" t="s">
        <v>475</v>
      </c>
      <c r="DL213" s="7" t="s">
        <v>473</v>
      </c>
      <c r="DQ213" s="7" t="s">
        <v>1269</v>
      </c>
      <c r="DR213" s="7" t="s">
        <v>1267</v>
      </c>
      <c r="EL213" s="822" t="s">
        <v>1273</v>
      </c>
      <c r="EM213" s="312" t="s">
        <v>1267</v>
      </c>
      <c r="EN213" s="268" t="s">
        <v>1272</v>
      </c>
      <c r="EO213" s="268">
        <v>0</v>
      </c>
      <c r="EP213" s="804">
        <v>1</v>
      </c>
      <c r="EQ213" s="806">
        <v>0</v>
      </c>
      <c r="ER213" s="810">
        <v>0.3</v>
      </c>
      <c r="ES213" s="806">
        <v>0.35</v>
      </c>
      <c r="ET213" s="841">
        <v>0.35</v>
      </c>
    </row>
    <row r="214" spans="1:152" ht="38.25" customHeight="1" x14ac:dyDescent="0.2">
      <c r="A214" s="271" t="s">
        <v>90</v>
      </c>
      <c r="B214" s="424" t="s">
        <v>91</v>
      </c>
      <c r="C214" s="425" t="s">
        <v>992</v>
      </c>
      <c r="D214" s="425"/>
      <c r="E214" s="8" t="s">
        <v>772</v>
      </c>
      <c r="F214" s="275" t="str">
        <f t="shared" si="153"/>
        <v>E3.P_H</v>
      </c>
      <c r="G214" s="685" t="s">
        <v>332</v>
      </c>
      <c r="H214" s="685" t="s">
        <v>475</v>
      </c>
      <c r="I214" s="452"/>
      <c r="J214" s="453" t="s">
        <v>61</v>
      </c>
      <c r="K214" s="368" t="str">
        <f t="shared" si="154"/>
        <v>E3.P_H.MR1</v>
      </c>
      <c r="L214" s="404" t="s">
        <v>455</v>
      </c>
      <c r="M214" s="405" t="s">
        <v>1262</v>
      </c>
      <c r="N214" s="369">
        <v>41</v>
      </c>
      <c r="O214" s="282">
        <v>341</v>
      </c>
      <c r="P214" s="371" t="s">
        <v>99</v>
      </c>
      <c r="Q214" s="372" t="str">
        <f t="shared" si="155"/>
        <v>E3.P_H.MR1-MP03-1</v>
      </c>
      <c r="R214" s="523" t="s">
        <v>1275</v>
      </c>
      <c r="S214" s="690" t="s">
        <v>1276</v>
      </c>
      <c r="T214" s="691">
        <v>2</v>
      </c>
      <c r="U214" s="692">
        <v>2</v>
      </c>
      <c r="V214" s="691" t="s">
        <v>102</v>
      </c>
      <c r="W214" s="693">
        <v>0</v>
      </c>
      <c r="X214" s="694">
        <v>0</v>
      </c>
      <c r="Y214" s="693">
        <v>2</v>
      </c>
      <c r="Z214" s="695">
        <v>0</v>
      </c>
      <c r="AA214" s="696"/>
      <c r="AB214" s="697"/>
      <c r="AC214" s="697"/>
      <c r="AD214" s="697"/>
      <c r="AE214" s="697"/>
      <c r="AF214" s="697"/>
      <c r="AG214" s="697"/>
      <c r="AH214" s="697"/>
      <c r="AI214" s="697"/>
      <c r="AJ214" s="697"/>
      <c r="AK214" s="697"/>
      <c r="AL214" s="697"/>
      <c r="AM214" s="697"/>
      <c r="AN214" s="697"/>
      <c r="AO214" s="697"/>
      <c r="AP214" s="697"/>
      <c r="AQ214" s="697"/>
      <c r="AR214" s="697"/>
      <c r="AS214" s="697"/>
      <c r="AT214" s="697"/>
      <c r="AU214" s="697"/>
      <c r="AV214" s="697"/>
      <c r="AW214" s="697"/>
      <c r="AX214" s="697"/>
      <c r="AY214" s="697"/>
      <c r="AZ214" s="697"/>
      <c r="BA214" s="697"/>
      <c r="BB214" s="697"/>
      <c r="BC214" s="698"/>
      <c r="BD214" s="699" t="s">
        <v>1221</v>
      </c>
      <c r="BE214" s="700"/>
      <c r="BF214" s="700"/>
      <c r="BG214" s="700"/>
      <c r="BH214" s="700"/>
      <c r="BI214" s="700"/>
      <c r="BJ214" s="700"/>
      <c r="BK214" s="700"/>
      <c r="BS214" s="86" t="s">
        <v>454</v>
      </c>
      <c r="BT214" s="86" t="s">
        <v>455</v>
      </c>
      <c r="BU214" s="87" t="s">
        <v>1273</v>
      </c>
      <c r="BV214" s="84" t="s">
        <v>1267</v>
      </c>
      <c r="DH214" s="7" t="s">
        <v>1278</v>
      </c>
      <c r="DI214" s="7" t="s">
        <v>384</v>
      </c>
      <c r="DJ214" s="7" t="s">
        <v>474</v>
      </c>
      <c r="DK214" s="7" t="s">
        <v>475</v>
      </c>
      <c r="DL214" s="7" t="s">
        <v>473</v>
      </c>
      <c r="DQ214" s="7" t="s">
        <v>1273</v>
      </c>
      <c r="DR214" s="7" t="s">
        <v>1267</v>
      </c>
      <c r="EL214" s="822" t="s">
        <v>1277</v>
      </c>
      <c r="EM214" s="817" t="s">
        <v>1275</v>
      </c>
      <c r="EN214" s="267" t="s">
        <v>1276</v>
      </c>
      <c r="EO214" s="267">
        <v>2</v>
      </c>
      <c r="EP214" s="267">
        <v>2</v>
      </c>
      <c r="EQ214" s="484">
        <v>0</v>
      </c>
      <c r="ER214" s="484">
        <v>0</v>
      </c>
      <c r="ES214" s="808">
        <v>1</v>
      </c>
      <c r="ET214" s="824">
        <v>1</v>
      </c>
    </row>
    <row r="215" spans="1:152" ht="63.75" customHeight="1" x14ac:dyDescent="0.2">
      <c r="A215" s="271" t="s">
        <v>90</v>
      </c>
      <c r="B215" s="424" t="s">
        <v>91</v>
      </c>
      <c r="C215" s="425" t="s">
        <v>992</v>
      </c>
      <c r="D215" s="425"/>
      <c r="E215" s="8" t="s">
        <v>772</v>
      </c>
      <c r="F215" s="275" t="str">
        <f t="shared" si="153"/>
        <v>E3.P_H</v>
      </c>
      <c r="G215" s="685" t="s">
        <v>332</v>
      </c>
      <c r="H215" s="685" t="s">
        <v>475</v>
      </c>
      <c r="I215" s="452"/>
      <c r="J215" s="453" t="s">
        <v>61</v>
      </c>
      <c r="K215" s="368" t="str">
        <f t="shared" si="154"/>
        <v>E3.P_H.MR1</v>
      </c>
      <c r="L215" s="404" t="s">
        <v>455</v>
      </c>
      <c r="M215" s="405" t="s">
        <v>1262</v>
      </c>
      <c r="N215" s="369">
        <v>41</v>
      </c>
      <c r="O215" s="282">
        <v>341</v>
      </c>
      <c r="P215" s="371" t="s">
        <v>112</v>
      </c>
      <c r="Q215" s="372" t="str">
        <f t="shared" si="155"/>
        <v>E3.P_H.MR1-MP04-1</v>
      </c>
      <c r="R215" s="623" t="s">
        <v>1279</v>
      </c>
      <c r="S215" s="524" t="s">
        <v>1280</v>
      </c>
      <c r="T215" s="525">
        <v>6</v>
      </c>
      <c r="U215" s="526">
        <v>8</v>
      </c>
      <c r="V215" s="525" t="s">
        <v>67</v>
      </c>
      <c r="W215" s="529">
        <v>2</v>
      </c>
      <c r="X215" s="670">
        <v>2</v>
      </c>
      <c r="Y215" s="529">
        <v>2</v>
      </c>
      <c r="Z215" s="530">
        <v>2</v>
      </c>
      <c r="AA215" s="531"/>
      <c r="AB215" s="532"/>
      <c r="AC215" s="532"/>
      <c r="AD215" s="532"/>
      <c r="AE215" s="532"/>
      <c r="AF215" s="532"/>
      <c r="AG215" s="532"/>
      <c r="AH215" s="532"/>
      <c r="AI215" s="532"/>
      <c r="AJ215" s="532"/>
      <c r="AK215" s="532"/>
      <c r="AL215" s="532"/>
      <c r="AM215" s="532"/>
      <c r="AN215" s="532"/>
      <c r="AO215" s="532"/>
      <c r="AP215" s="532"/>
      <c r="AQ215" s="532"/>
      <c r="AR215" s="532"/>
      <c r="AS215" s="532"/>
      <c r="AT215" s="532"/>
      <c r="AU215" s="532"/>
      <c r="AV215" s="532"/>
      <c r="AW215" s="532"/>
      <c r="AX215" s="532"/>
      <c r="AY215" s="532"/>
      <c r="AZ215" s="532"/>
      <c r="BA215" s="532"/>
      <c r="BB215" s="532"/>
      <c r="BC215" s="533"/>
      <c r="BD215" s="295" t="s">
        <v>1221</v>
      </c>
      <c r="BS215" s="86" t="s">
        <v>454</v>
      </c>
      <c r="BT215" s="86" t="s">
        <v>455</v>
      </c>
      <c r="BU215" s="87" t="s">
        <v>1277</v>
      </c>
      <c r="BV215" s="84" t="s">
        <v>1275</v>
      </c>
      <c r="DH215" s="7" t="s">
        <v>1282</v>
      </c>
      <c r="DI215" s="7" t="s">
        <v>384</v>
      </c>
      <c r="DJ215" s="7" t="s">
        <v>474</v>
      </c>
      <c r="DK215" s="7" t="s">
        <v>475</v>
      </c>
      <c r="DL215" s="7" t="s">
        <v>473</v>
      </c>
      <c r="DQ215" s="7" t="s">
        <v>1277</v>
      </c>
      <c r="DR215" s="7" t="s">
        <v>1275</v>
      </c>
      <c r="EL215" s="822" t="s">
        <v>1281</v>
      </c>
      <c r="EM215" s="312" t="s">
        <v>1279</v>
      </c>
      <c r="EN215" s="268" t="s">
        <v>1280</v>
      </c>
      <c r="EO215" s="268">
        <v>6</v>
      </c>
      <c r="EP215" s="268">
        <v>8</v>
      </c>
      <c r="EQ215" s="269">
        <v>2</v>
      </c>
      <c r="ER215" s="269">
        <v>2</v>
      </c>
      <c r="ES215" s="269">
        <v>2</v>
      </c>
      <c r="ET215" s="820">
        <v>2</v>
      </c>
    </row>
    <row r="216" spans="1:152" ht="49.5" customHeight="1" x14ac:dyDescent="0.2">
      <c r="A216" s="271" t="s">
        <v>90</v>
      </c>
      <c r="B216" s="424" t="s">
        <v>91</v>
      </c>
      <c r="C216" s="425" t="s">
        <v>992</v>
      </c>
      <c r="D216" s="425"/>
      <c r="E216" s="8" t="s">
        <v>772</v>
      </c>
      <c r="F216" s="275" t="str">
        <f t="shared" si="153"/>
        <v>E3.P_H</v>
      </c>
      <c r="G216" s="685" t="s">
        <v>332</v>
      </c>
      <c r="H216" s="685" t="s">
        <v>475</v>
      </c>
      <c r="I216" s="452"/>
      <c r="J216" s="453" t="s">
        <v>61</v>
      </c>
      <c r="K216" s="368" t="str">
        <f t="shared" si="154"/>
        <v>E3.P_H.MR1</v>
      </c>
      <c r="L216" s="404" t="s">
        <v>455</v>
      </c>
      <c r="M216" s="405" t="s">
        <v>1262</v>
      </c>
      <c r="N216" s="369">
        <v>41</v>
      </c>
      <c r="O216" s="282">
        <v>341</v>
      </c>
      <c r="P216" s="371" t="s">
        <v>122</v>
      </c>
      <c r="Q216" s="372" t="str">
        <f t="shared" si="155"/>
        <v>E3.P_H.MR1-MP05-1</v>
      </c>
      <c r="R216" s="623" t="s">
        <v>1283</v>
      </c>
      <c r="S216" s="524" t="s">
        <v>305</v>
      </c>
      <c r="T216" s="525">
        <v>1</v>
      </c>
      <c r="U216" s="526">
        <v>1</v>
      </c>
      <c r="V216" s="525" t="s">
        <v>102</v>
      </c>
      <c r="W216" s="540">
        <v>0.25</v>
      </c>
      <c r="X216" s="541">
        <v>0.25</v>
      </c>
      <c r="Y216" s="540">
        <v>0.25</v>
      </c>
      <c r="Z216" s="542">
        <v>0.25</v>
      </c>
      <c r="AA216" s="531"/>
      <c r="AB216" s="532"/>
      <c r="AC216" s="532"/>
      <c r="AD216" s="532"/>
      <c r="AE216" s="532"/>
      <c r="AF216" s="532"/>
      <c r="AG216" s="532"/>
      <c r="AH216" s="532"/>
      <c r="AI216" s="532"/>
      <c r="AJ216" s="532"/>
      <c r="AK216" s="532"/>
      <c r="AL216" s="532"/>
      <c r="AM216" s="532"/>
      <c r="AN216" s="532"/>
      <c r="AO216" s="532"/>
      <c r="AP216" s="532"/>
      <c r="AQ216" s="532"/>
      <c r="AR216" s="532"/>
      <c r="AS216" s="532"/>
      <c r="AT216" s="532"/>
      <c r="AU216" s="532"/>
      <c r="AV216" s="532"/>
      <c r="AW216" s="532"/>
      <c r="AX216" s="532"/>
      <c r="AY216" s="532"/>
      <c r="AZ216" s="532"/>
      <c r="BA216" s="532"/>
      <c r="BB216" s="532"/>
      <c r="BC216" s="533"/>
      <c r="BD216" s="295" t="s">
        <v>1221</v>
      </c>
      <c r="BS216" s="86" t="s">
        <v>454</v>
      </c>
      <c r="BT216" s="86" t="s">
        <v>455</v>
      </c>
      <c r="BU216" s="87" t="s">
        <v>1281</v>
      </c>
      <c r="BV216" s="84" t="s">
        <v>1279</v>
      </c>
      <c r="DH216" s="7" t="s">
        <v>1285</v>
      </c>
      <c r="DI216" s="7" t="s">
        <v>384</v>
      </c>
      <c r="DJ216" s="7" t="s">
        <v>474</v>
      </c>
      <c r="DK216" s="7" t="s">
        <v>475</v>
      </c>
      <c r="DL216" s="7" t="s">
        <v>473</v>
      </c>
      <c r="DQ216" s="7" t="s">
        <v>1281</v>
      </c>
      <c r="DR216" s="7" t="s">
        <v>1279</v>
      </c>
      <c r="EL216" s="822" t="s">
        <v>1284</v>
      </c>
      <c r="EM216" s="312" t="s">
        <v>1283</v>
      </c>
      <c r="EN216" s="268" t="s">
        <v>305</v>
      </c>
      <c r="EO216" s="268">
        <v>1</v>
      </c>
      <c r="EP216" s="268">
        <v>1</v>
      </c>
      <c r="EQ216" s="323">
        <v>0.25</v>
      </c>
      <c r="ER216" s="323">
        <v>0.25</v>
      </c>
      <c r="ES216" s="323">
        <v>0.25</v>
      </c>
      <c r="ET216" s="819">
        <v>0.25</v>
      </c>
    </row>
    <row r="217" spans="1:152" ht="52.5" customHeight="1" thickBot="1" x14ac:dyDescent="0.25">
      <c r="A217" s="271" t="s">
        <v>90</v>
      </c>
      <c r="B217" s="424" t="s">
        <v>91</v>
      </c>
      <c r="C217" s="425" t="s">
        <v>992</v>
      </c>
      <c r="D217" s="425"/>
      <c r="E217" s="8" t="s">
        <v>772</v>
      </c>
      <c r="F217" s="275" t="str">
        <f t="shared" si="153"/>
        <v>E3.P_H</v>
      </c>
      <c r="G217" s="686" t="s">
        <v>332</v>
      </c>
      <c r="H217" s="686" t="s">
        <v>475</v>
      </c>
      <c r="I217" s="458"/>
      <c r="J217" s="459" t="s">
        <v>61</v>
      </c>
      <c r="K217" s="460" t="str">
        <f t="shared" si="154"/>
        <v>E3.P_H.MR1</v>
      </c>
      <c r="L217" s="420" t="s">
        <v>455</v>
      </c>
      <c r="M217" s="421" t="s">
        <v>1262</v>
      </c>
      <c r="N217" s="383">
        <v>41</v>
      </c>
      <c r="O217" s="422">
        <v>341</v>
      </c>
      <c r="P217" s="385" t="s">
        <v>132</v>
      </c>
      <c r="Q217" s="386" t="str">
        <f t="shared" si="155"/>
        <v>E3.P_H.MR1-MP06-1</v>
      </c>
      <c r="R217" s="624" t="s">
        <v>1286</v>
      </c>
      <c r="S217" s="547" t="s">
        <v>1287</v>
      </c>
      <c r="T217" s="625">
        <v>0.05</v>
      </c>
      <c r="U217" s="626">
        <v>0.7</v>
      </c>
      <c r="V217" s="548" t="s">
        <v>67</v>
      </c>
      <c r="W217" s="701">
        <v>0.1</v>
      </c>
      <c r="X217" s="702">
        <v>0.1</v>
      </c>
      <c r="Y217" s="701">
        <v>0.4</v>
      </c>
      <c r="Z217" s="703">
        <v>0.4</v>
      </c>
      <c r="AA217" s="531"/>
      <c r="AB217" s="532"/>
      <c r="AC217" s="532"/>
      <c r="AD217" s="532"/>
      <c r="AE217" s="532"/>
      <c r="AF217" s="532"/>
      <c r="AG217" s="532"/>
      <c r="AH217" s="532"/>
      <c r="AI217" s="532"/>
      <c r="AJ217" s="532"/>
      <c r="AK217" s="532"/>
      <c r="AL217" s="532"/>
      <c r="AM217" s="532"/>
      <c r="AN217" s="532"/>
      <c r="AO217" s="532"/>
      <c r="AP217" s="532"/>
      <c r="AQ217" s="532"/>
      <c r="AR217" s="532"/>
      <c r="AS217" s="532"/>
      <c r="AT217" s="532"/>
      <c r="AU217" s="532"/>
      <c r="AV217" s="532"/>
      <c r="AW217" s="532"/>
      <c r="AX217" s="532"/>
      <c r="AY217" s="532"/>
      <c r="AZ217" s="532"/>
      <c r="BA217" s="532"/>
      <c r="BB217" s="532"/>
      <c r="BC217" s="533"/>
      <c r="BD217" s="295" t="s">
        <v>1221</v>
      </c>
      <c r="BS217" s="86" t="s">
        <v>454</v>
      </c>
      <c r="BT217" s="86" t="s">
        <v>455</v>
      </c>
      <c r="BU217" s="87" t="s">
        <v>1284</v>
      </c>
      <c r="BV217" s="84" t="s">
        <v>1283</v>
      </c>
      <c r="DH217" s="7" t="s">
        <v>1289</v>
      </c>
      <c r="DI217" s="7" t="s">
        <v>384</v>
      </c>
      <c r="DJ217" s="7" t="s">
        <v>474</v>
      </c>
      <c r="DK217" s="7" t="s">
        <v>475</v>
      </c>
      <c r="DL217" s="7" t="s">
        <v>473</v>
      </c>
      <c r="DQ217" s="7" t="s">
        <v>1284</v>
      </c>
      <c r="DR217" s="7" t="s">
        <v>1283</v>
      </c>
      <c r="EL217" s="822" t="s">
        <v>1288</v>
      </c>
      <c r="EM217" s="312" t="s">
        <v>1286</v>
      </c>
      <c r="EN217" s="268" t="s">
        <v>1287</v>
      </c>
      <c r="EO217" s="268">
        <v>0.05</v>
      </c>
      <c r="EP217" s="804">
        <v>0.7</v>
      </c>
      <c r="EQ217" s="802">
        <v>0.1</v>
      </c>
      <c r="ER217" s="810">
        <v>0.2</v>
      </c>
      <c r="ES217" s="809">
        <v>0.2</v>
      </c>
      <c r="ET217" s="818">
        <v>0.2</v>
      </c>
      <c r="EV217" s="704"/>
    </row>
    <row r="218" spans="1:152" ht="121.5" customHeight="1" x14ac:dyDescent="0.2">
      <c r="A218" s="271" t="s">
        <v>90</v>
      </c>
      <c r="B218" s="424" t="s">
        <v>91</v>
      </c>
      <c r="C218" s="425" t="s">
        <v>992</v>
      </c>
      <c r="D218" s="426" t="s">
        <v>1217</v>
      </c>
      <c r="E218" s="3" t="s">
        <v>802</v>
      </c>
      <c r="F218" s="427" t="str">
        <f t="shared" si="153"/>
        <v>E3.P_I</v>
      </c>
      <c r="G218" s="687" t="s">
        <v>343</v>
      </c>
      <c r="H218" s="688" t="s">
        <v>483</v>
      </c>
      <c r="I218" s="449" t="s">
        <v>1290</v>
      </c>
      <c r="J218" s="450" t="s">
        <v>61</v>
      </c>
      <c r="K218" s="451" t="str">
        <f t="shared" si="154"/>
        <v>E3.P_I.MR1</v>
      </c>
      <c r="L218" s="355" t="s">
        <v>463</v>
      </c>
      <c r="M218" s="356" t="s">
        <v>1291</v>
      </c>
      <c r="N218" s="400">
        <v>0.1</v>
      </c>
      <c r="O218" s="401">
        <v>0.3</v>
      </c>
      <c r="P218" s="705" t="s">
        <v>64</v>
      </c>
      <c r="Q218" s="706" t="str">
        <f t="shared" si="155"/>
        <v>E3.P_I.MR1-MP01-1</v>
      </c>
      <c r="R218" s="412" t="s">
        <v>1292</v>
      </c>
      <c r="S218" s="362" t="s">
        <v>1293</v>
      </c>
      <c r="T218" s="363">
        <v>0</v>
      </c>
      <c r="U218" s="364">
        <v>1</v>
      </c>
      <c r="V218" s="363" t="s">
        <v>67</v>
      </c>
      <c r="W218" s="557">
        <v>0.25</v>
      </c>
      <c r="X218" s="558">
        <v>0.25</v>
      </c>
      <c r="Y218" s="251">
        <v>0.5</v>
      </c>
      <c r="Z218" s="366">
        <v>0</v>
      </c>
      <c r="AA218" s="585">
        <v>22000000</v>
      </c>
      <c r="AB218" s="586">
        <v>0</v>
      </c>
      <c r="AC218" s="586">
        <v>0</v>
      </c>
      <c r="AD218" s="586">
        <v>0</v>
      </c>
      <c r="AE218" s="586">
        <v>0</v>
      </c>
      <c r="AF218" s="586">
        <v>0</v>
      </c>
      <c r="AG218" s="586">
        <f t="shared" ref="AG218" si="172">SUM(AA218:AF218)</f>
        <v>22000000</v>
      </c>
      <c r="AH218" s="586">
        <v>23000000</v>
      </c>
      <c r="AI218" s="586">
        <f>+AB218</f>
        <v>0</v>
      </c>
      <c r="AJ218" s="586">
        <f>+AC218</f>
        <v>0</v>
      </c>
      <c r="AK218" s="586">
        <f t="shared" ref="AK218:AM218" si="173">+AD218</f>
        <v>0</v>
      </c>
      <c r="AL218" s="586">
        <f t="shared" si="173"/>
        <v>0</v>
      </c>
      <c r="AM218" s="586">
        <f t="shared" si="173"/>
        <v>0</v>
      </c>
      <c r="AN218" s="586">
        <f t="shared" ref="AN218" si="174">SUM(AH218:AM218)</f>
        <v>23000000</v>
      </c>
      <c r="AO218" s="586">
        <v>44000000</v>
      </c>
      <c r="AP218" s="586">
        <f t="shared" ref="AP218:AT218" si="175">+AI218</f>
        <v>0</v>
      </c>
      <c r="AQ218" s="586">
        <f t="shared" si="175"/>
        <v>0</v>
      </c>
      <c r="AR218" s="586">
        <f t="shared" si="175"/>
        <v>0</v>
      </c>
      <c r="AS218" s="586">
        <f t="shared" si="175"/>
        <v>0</v>
      </c>
      <c r="AT218" s="586">
        <f t="shared" si="175"/>
        <v>0</v>
      </c>
      <c r="AU218" s="586">
        <f t="shared" ref="AU218" si="176">SUM(AO218:AT218)</f>
        <v>44000000</v>
      </c>
      <c r="AV218" s="586">
        <v>46000000</v>
      </c>
      <c r="AW218" s="586">
        <f t="shared" ref="AW218:BA218" si="177">+AP218</f>
        <v>0</v>
      </c>
      <c r="AX218" s="586">
        <f t="shared" si="177"/>
        <v>0</v>
      </c>
      <c r="AY218" s="586">
        <f t="shared" si="177"/>
        <v>0</v>
      </c>
      <c r="AZ218" s="586">
        <f t="shared" si="177"/>
        <v>0</v>
      </c>
      <c r="BA218" s="586">
        <f t="shared" si="177"/>
        <v>0</v>
      </c>
      <c r="BB218" s="586">
        <f t="shared" ref="BB218" si="178">SUM(AV218:BA218)</f>
        <v>46000000</v>
      </c>
      <c r="BC218" s="654">
        <f t="shared" ref="BC218" si="179">+BB218+AU218+AN218+AG218</f>
        <v>135000000</v>
      </c>
      <c r="BD218" s="295" t="s">
        <v>1221</v>
      </c>
      <c r="BS218" s="86" t="s">
        <v>454</v>
      </c>
      <c r="BT218" s="86" t="s">
        <v>455</v>
      </c>
      <c r="BU218" s="87" t="s">
        <v>1288</v>
      </c>
      <c r="BV218" s="84" t="s">
        <v>1286</v>
      </c>
      <c r="DH218" s="7" t="s">
        <v>1295</v>
      </c>
      <c r="DI218" s="7" t="s">
        <v>384</v>
      </c>
      <c r="DJ218" s="7" t="s">
        <v>474</v>
      </c>
      <c r="DK218" s="7" t="s">
        <v>475</v>
      </c>
      <c r="DL218" s="7" t="s">
        <v>473</v>
      </c>
      <c r="DQ218" s="7" t="s">
        <v>1288</v>
      </c>
      <c r="DR218" s="7" t="s">
        <v>1286</v>
      </c>
      <c r="EL218" s="816" t="s">
        <v>1294</v>
      </c>
      <c r="EM218" s="312" t="s">
        <v>1292</v>
      </c>
      <c r="EN218" s="268" t="s">
        <v>1293</v>
      </c>
      <c r="EO218" s="268">
        <v>0</v>
      </c>
      <c r="EP218" s="268">
        <v>1</v>
      </c>
      <c r="EQ218" s="323">
        <v>0</v>
      </c>
      <c r="ER218" s="810">
        <v>0</v>
      </c>
      <c r="ES218" s="270">
        <v>0.5</v>
      </c>
      <c r="ET218" s="818">
        <v>0.5</v>
      </c>
    </row>
    <row r="219" spans="1:152" ht="64.5" customHeight="1" x14ac:dyDescent="0.2">
      <c r="A219" s="271" t="s">
        <v>90</v>
      </c>
      <c r="B219" s="424" t="s">
        <v>91</v>
      </c>
      <c r="C219" s="425" t="s">
        <v>992</v>
      </c>
      <c r="D219" s="425"/>
      <c r="E219" s="8" t="s">
        <v>802</v>
      </c>
      <c r="F219" s="275" t="str">
        <f t="shared" si="153"/>
        <v>E3.P_I</v>
      </c>
      <c r="G219" s="685" t="s">
        <v>343</v>
      </c>
      <c r="H219" s="685" t="s">
        <v>483</v>
      </c>
      <c r="I219" s="452"/>
      <c r="J219" s="453" t="s">
        <v>61</v>
      </c>
      <c r="K219" s="368" t="str">
        <f t="shared" si="154"/>
        <v>E3.P_I.MR1</v>
      </c>
      <c r="L219" s="507" t="s">
        <v>463</v>
      </c>
      <c r="M219" s="508" t="s">
        <v>1291</v>
      </c>
      <c r="N219" s="406">
        <v>0.1</v>
      </c>
      <c r="O219" s="407">
        <v>0.3</v>
      </c>
      <c r="P219" s="707" t="s">
        <v>87</v>
      </c>
      <c r="Q219" s="708" t="str">
        <f t="shared" si="155"/>
        <v>E3.P_I.MR1-MP02-1</v>
      </c>
      <c r="R219" s="416" t="s">
        <v>1296</v>
      </c>
      <c r="S219" s="308" t="s">
        <v>1297</v>
      </c>
      <c r="T219" s="287">
        <v>35</v>
      </c>
      <c r="U219" s="288">
        <v>40</v>
      </c>
      <c r="V219" s="287" t="s">
        <v>67</v>
      </c>
      <c r="W219" s="289">
        <v>10</v>
      </c>
      <c r="X219" s="290">
        <v>10</v>
      </c>
      <c r="Y219" s="289">
        <v>10</v>
      </c>
      <c r="Z219" s="291">
        <v>10</v>
      </c>
      <c r="AA219" s="292"/>
      <c r="AB219" s="293"/>
      <c r="AC219" s="293"/>
      <c r="AD219" s="293"/>
      <c r="AE219" s="293"/>
      <c r="AF219" s="293"/>
      <c r="AG219" s="293"/>
      <c r="AH219" s="293"/>
      <c r="AI219" s="293"/>
      <c r="AJ219" s="293"/>
      <c r="AK219" s="293"/>
      <c r="AL219" s="293"/>
      <c r="AM219" s="293"/>
      <c r="AN219" s="293"/>
      <c r="AO219" s="293"/>
      <c r="AP219" s="293"/>
      <c r="AQ219" s="293"/>
      <c r="AR219" s="293"/>
      <c r="AS219" s="293"/>
      <c r="AT219" s="293"/>
      <c r="AU219" s="293"/>
      <c r="AV219" s="293"/>
      <c r="AW219" s="293"/>
      <c r="AX219" s="293"/>
      <c r="AY219" s="293"/>
      <c r="AZ219" s="293"/>
      <c r="BA219" s="293"/>
      <c r="BB219" s="293"/>
      <c r="BC219" s="294"/>
      <c r="BD219" s="295" t="s">
        <v>1221</v>
      </c>
      <c r="BS219" s="84" t="s">
        <v>462</v>
      </c>
      <c r="BT219" s="84" t="s">
        <v>463</v>
      </c>
      <c r="BU219" s="87" t="s">
        <v>1294</v>
      </c>
      <c r="BV219" s="84" t="s">
        <v>1292</v>
      </c>
      <c r="DH219" s="7" t="s">
        <v>1299</v>
      </c>
      <c r="DI219" s="7" t="s">
        <v>384</v>
      </c>
      <c r="DJ219" s="7" t="s">
        <v>482</v>
      </c>
      <c r="DK219" s="7" t="s">
        <v>483</v>
      </c>
      <c r="DL219" s="7" t="s">
        <v>481</v>
      </c>
      <c r="DQ219" s="7" t="s">
        <v>1294</v>
      </c>
      <c r="DR219" s="7" t="s">
        <v>1292</v>
      </c>
      <c r="EL219" s="816" t="s">
        <v>1298</v>
      </c>
      <c r="EM219" s="312" t="s">
        <v>1296</v>
      </c>
      <c r="EN219" s="268" t="s">
        <v>1297</v>
      </c>
      <c r="EO219" s="268">
        <v>35</v>
      </c>
      <c r="EP219" s="268">
        <v>40</v>
      </c>
      <c r="EQ219" s="269">
        <v>10</v>
      </c>
      <c r="ER219" s="269">
        <v>10</v>
      </c>
      <c r="ES219" s="269">
        <v>10</v>
      </c>
      <c r="ET219" s="820">
        <v>10</v>
      </c>
    </row>
    <row r="220" spans="1:152" ht="54" customHeight="1" thickBot="1" x14ac:dyDescent="0.25">
      <c r="A220" s="271" t="s">
        <v>90</v>
      </c>
      <c r="B220" s="424" t="s">
        <v>91</v>
      </c>
      <c r="C220" s="425" t="s">
        <v>992</v>
      </c>
      <c r="D220" s="425"/>
      <c r="E220" s="8" t="s">
        <v>802</v>
      </c>
      <c r="F220" s="275" t="str">
        <f t="shared" si="153"/>
        <v>E3.P_I</v>
      </c>
      <c r="G220" s="686" t="s">
        <v>343</v>
      </c>
      <c r="H220" s="686" t="s">
        <v>483</v>
      </c>
      <c r="I220" s="458"/>
      <c r="J220" s="459" t="s">
        <v>61</v>
      </c>
      <c r="K220" s="460" t="str">
        <f t="shared" si="154"/>
        <v>E3.P_I.MR1</v>
      </c>
      <c r="L220" s="543" t="s">
        <v>463</v>
      </c>
      <c r="M220" s="544" t="s">
        <v>1291</v>
      </c>
      <c r="N220" s="409">
        <v>0.1</v>
      </c>
      <c r="O220" s="410">
        <v>0.3</v>
      </c>
      <c r="P220" s="709" t="s">
        <v>99</v>
      </c>
      <c r="Q220" s="710" t="str">
        <f t="shared" si="155"/>
        <v>E3.P_I.MR1-MP03-1</v>
      </c>
      <c r="R220" s="471" t="s">
        <v>1300</v>
      </c>
      <c r="S220" s="331" t="s">
        <v>170</v>
      </c>
      <c r="T220" s="332">
        <v>0</v>
      </c>
      <c r="U220" s="333">
        <v>4</v>
      </c>
      <c r="V220" s="345" t="s">
        <v>67</v>
      </c>
      <c r="W220" s="347">
        <v>1</v>
      </c>
      <c r="X220" s="348">
        <v>1</v>
      </c>
      <c r="Y220" s="347">
        <v>1</v>
      </c>
      <c r="Z220" s="349">
        <v>1</v>
      </c>
      <c r="AA220" s="292"/>
      <c r="AB220" s="293"/>
      <c r="AC220" s="293"/>
      <c r="AD220" s="293"/>
      <c r="AE220" s="293"/>
      <c r="AF220" s="293"/>
      <c r="AG220" s="293"/>
      <c r="AH220" s="293"/>
      <c r="AI220" s="293"/>
      <c r="AJ220" s="293"/>
      <c r="AK220" s="293"/>
      <c r="AL220" s="293"/>
      <c r="AM220" s="293"/>
      <c r="AN220" s="293"/>
      <c r="AO220" s="293"/>
      <c r="AP220" s="293"/>
      <c r="AQ220" s="293"/>
      <c r="AR220" s="293"/>
      <c r="AS220" s="293"/>
      <c r="AT220" s="293"/>
      <c r="AU220" s="293"/>
      <c r="AV220" s="293"/>
      <c r="AW220" s="293"/>
      <c r="AX220" s="293"/>
      <c r="AY220" s="293"/>
      <c r="AZ220" s="293"/>
      <c r="BA220" s="293"/>
      <c r="BB220" s="293"/>
      <c r="BC220" s="294"/>
      <c r="BD220" s="295" t="s">
        <v>1221</v>
      </c>
      <c r="BS220" s="86" t="s">
        <v>462</v>
      </c>
      <c r="BT220" s="86" t="s">
        <v>463</v>
      </c>
      <c r="BU220" s="87" t="s">
        <v>1298</v>
      </c>
      <c r="BV220" s="84" t="s">
        <v>1296</v>
      </c>
      <c r="DH220" s="7" t="s">
        <v>1302</v>
      </c>
      <c r="DI220" s="7" t="s">
        <v>384</v>
      </c>
      <c r="DJ220" s="7" t="s">
        <v>482</v>
      </c>
      <c r="DK220" s="7" t="s">
        <v>483</v>
      </c>
      <c r="DL220" s="7" t="s">
        <v>481</v>
      </c>
      <c r="DQ220" s="7" t="s">
        <v>1298</v>
      </c>
      <c r="DR220" s="7" t="s">
        <v>1296</v>
      </c>
      <c r="EL220" s="816" t="s">
        <v>1301</v>
      </c>
      <c r="EM220" s="312" t="s">
        <v>1300</v>
      </c>
      <c r="EN220" s="268" t="s">
        <v>170</v>
      </c>
      <c r="EO220" s="268">
        <v>0</v>
      </c>
      <c r="EP220" s="268">
        <v>4</v>
      </c>
      <c r="EQ220" s="269">
        <v>1</v>
      </c>
      <c r="ER220" s="269">
        <v>1</v>
      </c>
      <c r="ES220" s="269">
        <v>1</v>
      </c>
      <c r="ET220" s="820">
        <v>1</v>
      </c>
    </row>
    <row r="221" spans="1:152" ht="156" customHeight="1" x14ac:dyDescent="0.2">
      <c r="A221" s="271" t="s">
        <v>90</v>
      </c>
      <c r="B221" s="424" t="s">
        <v>91</v>
      </c>
      <c r="C221" s="425" t="s">
        <v>992</v>
      </c>
      <c r="D221" s="426" t="s">
        <v>1217</v>
      </c>
      <c r="E221" s="3" t="s">
        <v>818</v>
      </c>
      <c r="F221" s="427" t="str">
        <f t="shared" si="153"/>
        <v>E3.P_J</v>
      </c>
      <c r="G221" s="428" t="s">
        <v>354</v>
      </c>
      <c r="H221" s="473" t="s">
        <v>491</v>
      </c>
      <c r="I221" s="449" t="s">
        <v>1303</v>
      </c>
      <c r="J221" s="450" t="s">
        <v>61</v>
      </c>
      <c r="K221" s="451" t="str">
        <f t="shared" si="154"/>
        <v>E3.P_J.MR1</v>
      </c>
      <c r="L221" s="355" t="s">
        <v>471</v>
      </c>
      <c r="M221" s="356" t="s">
        <v>1304</v>
      </c>
      <c r="N221" s="400">
        <v>1</v>
      </c>
      <c r="O221" s="401">
        <v>1</v>
      </c>
      <c r="P221" s="243" t="s">
        <v>64</v>
      </c>
      <c r="Q221" s="243" t="str">
        <f t="shared" si="155"/>
        <v>E3.P_J.MR1-MP01-1</v>
      </c>
      <c r="R221" s="711" t="s">
        <v>1305</v>
      </c>
      <c r="S221" s="712" t="s">
        <v>1306</v>
      </c>
      <c r="T221" s="363">
        <v>1</v>
      </c>
      <c r="U221" s="364">
        <v>1</v>
      </c>
      <c r="V221" s="363" t="s">
        <v>102</v>
      </c>
      <c r="W221" s="557">
        <v>0.25</v>
      </c>
      <c r="X221" s="558">
        <v>0.75</v>
      </c>
      <c r="Y221" s="249">
        <v>0</v>
      </c>
      <c r="Z221" s="366">
        <v>0</v>
      </c>
      <c r="AA221" s="585">
        <v>103000000</v>
      </c>
      <c r="AB221" s="586">
        <v>0</v>
      </c>
      <c r="AC221" s="586">
        <v>0</v>
      </c>
      <c r="AD221" s="586">
        <v>0</v>
      </c>
      <c r="AE221" s="586">
        <v>0</v>
      </c>
      <c r="AF221" s="586">
        <v>0</v>
      </c>
      <c r="AG221" s="586">
        <f t="shared" ref="AG221" si="180">SUM(AA221:AF221)</f>
        <v>103000000</v>
      </c>
      <c r="AH221" s="586">
        <v>79000000</v>
      </c>
      <c r="AI221" s="586">
        <f>+AB221</f>
        <v>0</v>
      </c>
      <c r="AJ221" s="586">
        <f>+AC221</f>
        <v>0</v>
      </c>
      <c r="AK221" s="586">
        <f t="shared" ref="AK221:AM221" si="181">+AD221</f>
        <v>0</v>
      </c>
      <c r="AL221" s="586">
        <f t="shared" si="181"/>
        <v>0</v>
      </c>
      <c r="AM221" s="586">
        <f t="shared" si="181"/>
        <v>0</v>
      </c>
      <c r="AN221" s="586">
        <f t="shared" ref="AN221" si="182">SUM(AH221:AM221)</f>
        <v>79000000</v>
      </c>
      <c r="AO221" s="586">
        <v>76500000</v>
      </c>
      <c r="AP221" s="586">
        <f t="shared" ref="AP221:AT221" si="183">+AI221</f>
        <v>0</v>
      </c>
      <c r="AQ221" s="586">
        <f t="shared" si="183"/>
        <v>0</v>
      </c>
      <c r="AR221" s="586">
        <f t="shared" si="183"/>
        <v>0</v>
      </c>
      <c r="AS221" s="586">
        <f t="shared" si="183"/>
        <v>0</v>
      </c>
      <c r="AT221" s="586">
        <f t="shared" si="183"/>
        <v>0</v>
      </c>
      <c r="AU221" s="586">
        <f t="shared" ref="AU221" si="184">SUM(AO221:AT221)</f>
        <v>76500000</v>
      </c>
      <c r="AV221" s="586">
        <v>105000000</v>
      </c>
      <c r="AW221" s="586">
        <f t="shared" ref="AW221:BA221" si="185">+AP221</f>
        <v>0</v>
      </c>
      <c r="AX221" s="586">
        <f t="shared" si="185"/>
        <v>0</v>
      </c>
      <c r="AY221" s="586">
        <f t="shared" si="185"/>
        <v>0</v>
      </c>
      <c r="AZ221" s="586">
        <f t="shared" si="185"/>
        <v>0</v>
      </c>
      <c r="BA221" s="586">
        <f t="shared" si="185"/>
        <v>0</v>
      </c>
      <c r="BB221" s="586">
        <f t="shared" ref="BB221" si="186">SUM(AV221:BA221)</f>
        <v>105000000</v>
      </c>
      <c r="BC221" s="654">
        <f t="shared" ref="BC221" si="187">+BB221+AU221+AN221+AG221</f>
        <v>363500000</v>
      </c>
      <c r="BD221" s="295" t="s">
        <v>1221</v>
      </c>
      <c r="BS221" s="86" t="s">
        <v>462</v>
      </c>
      <c r="BT221" s="86" t="s">
        <v>463</v>
      </c>
      <c r="BU221" s="87" t="s">
        <v>1301</v>
      </c>
      <c r="BV221" s="84" t="s">
        <v>1300</v>
      </c>
      <c r="DH221" s="7" t="s">
        <v>1308</v>
      </c>
      <c r="DI221" s="7" t="s">
        <v>384</v>
      </c>
      <c r="DJ221" s="7" t="s">
        <v>482</v>
      </c>
      <c r="DK221" s="7" t="s">
        <v>483</v>
      </c>
      <c r="DL221" s="7" t="s">
        <v>481</v>
      </c>
      <c r="DQ221" s="7" t="s">
        <v>1301</v>
      </c>
      <c r="DR221" s="7" t="s">
        <v>1300</v>
      </c>
      <c r="EL221" s="816" t="s">
        <v>1307</v>
      </c>
      <c r="EM221" s="817" t="s">
        <v>1305</v>
      </c>
      <c r="EN221" s="267" t="s">
        <v>1306</v>
      </c>
      <c r="EO221" s="268">
        <v>1</v>
      </c>
      <c r="EP221" s="268">
        <v>1</v>
      </c>
      <c r="EQ221" s="323">
        <v>0.25</v>
      </c>
      <c r="ER221" s="323">
        <v>0.75</v>
      </c>
      <c r="ES221" s="269">
        <v>0</v>
      </c>
      <c r="ET221" s="820">
        <v>0</v>
      </c>
    </row>
    <row r="222" spans="1:152" ht="55.5" customHeight="1" x14ac:dyDescent="0.2">
      <c r="A222" s="271" t="s">
        <v>90</v>
      </c>
      <c r="B222" s="424" t="s">
        <v>91</v>
      </c>
      <c r="C222" s="425" t="s">
        <v>992</v>
      </c>
      <c r="D222" s="425"/>
      <c r="E222" s="8" t="s">
        <v>818</v>
      </c>
      <c r="F222" s="275" t="str">
        <f t="shared" si="153"/>
        <v>E3.P_J</v>
      </c>
      <c r="G222" s="448" t="s">
        <v>354</v>
      </c>
      <c r="H222" s="448" t="s">
        <v>491</v>
      </c>
      <c r="I222" s="452"/>
      <c r="J222" s="453" t="s">
        <v>61</v>
      </c>
      <c r="K222" s="368" t="str">
        <f t="shared" si="154"/>
        <v>E3.P_J.MR1</v>
      </c>
      <c r="L222" s="632" t="s">
        <v>471</v>
      </c>
      <c r="M222" s="425" t="s">
        <v>1304</v>
      </c>
      <c r="N222" s="406">
        <v>1</v>
      </c>
      <c r="O222" s="407">
        <v>1</v>
      </c>
      <c r="P222" s="284" t="s">
        <v>74</v>
      </c>
      <c r="Q222" s="284" t="str">
        <f t="shared" si="155"/>
        <v>E3.P_J.MR1-MP01-2</v>
      </c>
      <c r="R222" s="713" t="s">
        <v>1305</v>
      </c>
      <c r="S222" s="286" t="s">
        <v>1309</v>
      </c>
      <c r="T222" s="287">
        <v>1</v>
      </c>
      <c r="U222" s="288">
        <v>1</v>
      </c>
      <c r="V222" s="287" t="s">
        <v>102</v>
      </c>
      <c r="W222" s="315">
        <v>0.25</v>
      </c>
      <c r="X222" s="316">
        <v>0.25</v>
      </c>
      <c r="Y222" s="315">
        <v>0.25</v>
      </c>
      <c r="Z222" s="317">
        <v>0.25</v>
      </c>
      <c r="AA222" s="292"/>
      <c r="AB222" s="293"/>
      <c r="AC222" s="293"/>
      <c r="AD222" s="293"/>
      <c r="AE222" s="293"/>
      <c r="AF222" s="293"/>
      <c r="AG222" s="293"/>
      <c r="AH222" s="293"/>
      <c r="AI222" s="293"/>
      <c r="AJ222" s="293"/>
      <c r="AK222" s="293"/>
      <c r="AL222" s="293"/>
      <c r="AM222" s="293"/>
      <c r="AN222" s="293"/>
      <c r="AO222" s="293"/>
      <c r="AP222" s="293"/>
      <c r="AQ222" s="293"/>
      <c r="AR222" s="293"/>
      <c r="AS222" s="293"/>
      <c r="AT222" s="293"/>
      <c r="AU222" s="293"/>
      <c r="AV222" s="293"/>
      <c r="AW222" s="293"/>
      <c r="AX222" s="293"/>
      <c r="AY222" s="293"/>
      <c r="AZ222" s="293"/>
      <c r="BA222" s="293"/>
      <c r="BB222" s="293"/>
      <c r="BC222" s="294"/>
      <c r="BD222" s="295" t="s">
        <v>1221</v>
      </c>
      <c r="BS222" s="84" t="s">
        <v>470</v>
      </c>
      <c r="BT222" s="84" t="s">
        <v>471</v>
      </c>
      <c r="BU222" s="87" t="s">
        <v>1307</v>
      </c>
      <c r="BV222" s="84" t="s">
        <v>1305</v>
      </c>
      <c r="DH222" s="7" t="s">
        <v>1311</v>
      </c>
      <c r="DI222" s="7" t="s">
        <v>384</v>
      </c>
      <c r="DJ222" s="7" t="s">
        <v>490</v>
      </c>
      <c r="DK222" s="7" t="s">
        <v>491</v>
      </c>
      <c r="DL222" s="7" t="s">
        <v>489</v>
      </c>
      <c r="DQ222" s="7" t="s">
        <v>1307</v>
      </c>
      <c r="DR222" s="7" t="s">
        <v>1305</v>
      </c>
      <c r="EL222" s="816" t="s">
        <v>1310</v>
      </c>
      <c r="EM222" s="817" t="s">
        <v>1305</v>
      </c>
      <c r="EN222" s="267" t="s">
        <v>1309</v>
      </c>
      <c r="EO222" s="268">
        <v>1</v>
      </c>
      <c r="EP222" s="268">
        <v>1</v>
      </c>
      <c r="EQ222" s="323">
        <v>0.25</v>
      </c>
      <c r="ER222" s="323">
        <v>0.25</v>
      </c>
      <c r="ES222" s="323">
        <v>0.25</v>
      </c>
      <c r="ET222" s="819">
        <v>0.25</v>
      </c>
    </row>
    <row r="223" spans="1:152" ht="35.25" customHeight="1" x14ac:dyDescent="0.2">
      <c r="A223" s="271" t="s">
        <v>90</v>
      </c>
      <c r="B223" s="424" t="s">
        <v>91</v>
      </c>
      <c r="C223" s="425" t="s">
        <v>992</v>
      </c>
      <c r="D223" s="425"/>
      <c r="E223" s="8" t="s">
        <v>818</v>
      </c>
      <c r="F223" s="275" t="str">
        <f t="shared" si="153"/>
        <v>E3.P_J</v>
      </c>
      <c r="G223" s="448" t="s">
        <v>354</v>
      </c>
      <c r="H223" s="448" t="s">
        <v>491</v>
      </c>
      <c r="I223" s="452"/>
      <c r="J223" s="453" t="s">
        <v>61</v>
      </c>
      <c r="K223" s="368" t="str">
        <f t="shared" si="154"/>
        <v>E3.P_J.MR1</v>
      </c>
      <c r="L223" s="632" t="s">
        <v>471</v>
      </c>
      <c r="M223" s="425" t="s">
        <v>1304</v>
      </c>
      <c r="N223" s="406">
        <v>1</v>
      </c>
      <c r="O223" s="407">
        <v>1</v>
      </c>
      <c r="P223" s="284" t="s">
        <v>87</v>
      </c>
      <c r="Q223" s="284" t="str">
        <f t="shared" si="155"/>
        <v>E3.P_J.MR1-MP02-1</v>
      </c>
      <c r="R223" s="416" t="s">
        <v>1312</v>
      </c>
      <c r="S223" s="308" t="s">
        <v>1313</v>
      </c>
      <c r="T223" s="287">
        <v>3</v>
      </c>
      <c r="U223" s="288">
        <v>3</v>
      </c>
      <c r="V223" s="287" t="s">
        <v>102</v>
      </c>
      <c r="W223" s="289">
        <v>0</v>
      </c>
      <c r="X223" s="290">
        <v>1</v>
      </c>
      <c r="Y223" s="289">
        <v>1</v>
      </c>
      <c r="Z223" s="291">
        <v>1</v>
      </c>
      <c r="AA223" s="292"/>
      <c r="AB223" s="293"/>
      <c r="AC223" s="293"/>
      <c r="AD223" s="293"/>
      <c r="AE223" s="293"/>
      <c r="AF223" s="293"/>
      <c r="AG223" s="293"/>
      <c r="AH223" s="293"/>
      <c r="AI223" s="293"/>
      <c r="AJ223" s="293"/>
      <c r="AK223" s="293"/>
      <c r="AL223" s="293"/>
      <c r="AM223" s="293"/>
      <c r="AN223" s="293"/>
      <c r="AO223" s="293"/>
      <c r="AP223" s="293"/>
      <c r="AQ223" s="293"/>
      <c r="AR223" s="293"/>
      <c r="AS223" s="293"/>
      <c r="AT223" s="293"/>
      <c r="AU223" s="293"/>
      <c r="AV223" s="293"/>
      <c r="AW223" s="293"/>
      <c r="AX223" s="293"/>
      <c r="AY223" s="293"/>
      <c r="AZ223" s="293"/>
      <c r="BA223" s="293"/>
      <c r="BB223" s="293"/>
      <c r="BC223" s="294"/>
      <c r="BD223" s="295" t="s">
        <v>1221</v>
      </c>
      <c r="BS223" s="86" t="s">
        <v>470</v>
      </c>
      <c r="BT223" s="86" t="s">
        <v>471</v>
      </c>
      <c r="BU223" s="87" t="s">
        <v>1310</v>
      </c>
      <c r="BV223" s="84" t="s">
        <v>1305</v>
      </c>
      <c r="DH223" s="7" t="s">
        <v>1315</v>
      </c>
      <c r="DI223" s="7" t="s">
        <v>384</v>
      </c>
      <c r="DJ223" s="7" t="s">
        <v>490</v>
      </c>
      <c r="DK223" s="7" t="s">
        <v>491</v>
      </c>
      <c r="DL223" s="7" t="s">
        <v>489</v>
      </c>
      <c r="DQ223" s="7" t="s">
        <v>1310</v>
      </c>
      <c r="DR223" s="7" t="s">
        <v>1305</v>
      </c>
      <c r="EL223" s="816" t="s">
        <v>1314</v>
      </c>
      <c r="EM223" s="312" t="s">
        <v>1312</v>
      </c>
      <c r="EN223" s="268" t="s">
        <v>1313</v>
      </c>
      <c r="EO223" s="268">
        <v>3</v>
      </c>
      <c r="EP223" s="268">
        <v>3</v>
      </c>
      <c r="EQ223" s="269">
        <v>0</v>
      </c>
      <c r="ER223" s="269">
        <v>1</v>
      </c>
      <c r="ES223" s="269">
        <v>1</v>
      </c>
      <c r="ET223" s="820">
        <v>1</v>
      </c>
    </row>
    <row r="224" spans="1:152" ht="62.25" customHeight="1" x14ac:dyDescent="0.2">
      <c r="A224" s="271" t="s">
        <v>90</v>
      </c>
      <c r="B224" s="424" t="s">
        <v>91</v>
      </c>
      <c r="C224" s="425" t="s">
        <v>992</v>
      </c>
      <c r="D224" s="425"/>
      <c r="E224" s="8" t="s">
        <v>818</v>
      </c>
      <c r="F224" s="275" t="str">
        <f t="shared" si="153"/>
        <v>E3.P_J</v>
      </c>
      <c r="G224" s="448" t="s">
        <v>354</v>
      </c>
      <c r="H224" s="448" t="s">
        <v>491</v>
      </c>
      <c r="I224" s="452"/>
      <c r="J224" s="453" t="s">
        <v>61</v>
      </c>
      <c r="K224" s="368" t="str">
        <f t="shared" si="154"/>
        <v>E3.P_J.MR1</v>
      </c>
      <c r="L224" s="632" t="s">
        <v>471</v>
      </c>
      <c r="M224" s="425" t="s">
        <v>1304</v>
      </c>
      <c r="N224" s="406">
        <v>1</v>
      </c>
      <c r="O224" s="407">
        <v>1</v>
      </c>
      <c r="P224" s="284" t="s">
        <v>99</v>
      </c>
      <c r="Q224" s="284" t="str">
        <f t="shared" si="155"/>
        <v>E3.P_J.MR1-MP03-1</v>
      </c>
      <c r="R224" s="713" t="s">
        <v>1316</v>
      </c>
      <c r="S224" s="286" t="s">
        <v>1317</v>
      </c>
      <c r="T224" s="287">
        <v>0.3</v>
      </c>
      <c r="U224" s="288">
        <v>1</v>
      </c>
      <c r="V224" s="287" t="s">
        <v>67</v>
      </c>
      <c r="W224" s="309">
        <v>0.2</v>
      </c>
      <c r="X224" s="324">
        <v>0.3</v>
      </c>
      <c r="Y224" s="315">
        <v>0.25</v>
      </c>
      <c r="Z224" s="317">
        <v>0.25</v>
      </c>
      <c r="AA224" s="292"/>
      <c r="AB224" s="293"/>
      <c r="AC224" s="293"/>
      <c r="AD224" s="293"/>
      <c r="AE224" s="293"/>
      <c r="AF224" s="293"/>
      <c r="AG224" s="293"/>
      <c r="AH224" s="293"/>
      <c r="AI224" s="293"/>
      <c r="AJ224" s="293"/>
      <c r="AK224" s="293"/>
      <c r="AL224" s="293"/>
      <c r="AM224" s="293"/>
      <c r="AN224" s="293"/>
      <c r="AO224" s="293"/>
      <c r="AP224" s="293"/>
      <c r="AQ224" s="293"/>
      <c r="AR224" s="293"/>
      <c r="AS224" s="293"/>
      <c r="AT224" s="293"/>
      <c r="AU224" s="293"/>
      <c r="AV224" s="293"/>
      <c r="AW224" s="293"/>
      <c r="AX224" s="293"/>
      <c r="AY224" s="293"/>
      <c r="AZ224" s="293"/>
      <c r="BA224" s="293"/>
      <c r="BB224" s="293"/>
      <c r="BC224" s="294"/>
      <c r="BD224" s="295" t="s">
        <v>1221</v>
      </c>
      <c r="BS224" s="86" t="s">
        <v>470</v>
      </c>
      <c r="BT224" s="86" t="s">
        <v>471</v>
      </c>
      <c r="BU224" s="87" t="s">
        <v>1314</v>
      </c>
      <c r="BV224" s="84" t="s">
        <v>1312</v>
      </c>
      <c r="DH224" s="7" t="s">
        <v>1319</v>
      </c>
      <c r="DI224" s="7" t="s">
        <v>384</v>
      </c>
      <c r="DJ224" s="7" t="s">
        <v>490</v>
      </c>
      <c r="DK224" s="7" t="s">
        <v>491</v>
      </c>
      <c r="DL224" s="7" t="s">
        <v>489</v>
      </c>
      <c r="DQ224" s="7" t="s">
        <v>1314</v>
      </c>
      <c r="DR224" s="7" t="s">
        <v>1312</v>
      </c>
      <c r="EL224" s="816" t="s">
        <v>1318</v>
      </c>
      <c r="EM224" s="817" t="s">
        <v>1316</v>
      </c>
      <c r="EN224" s="267" t="s">
        <v>1317</v>
      </c>
      <c r="EO224" s="268">
        <v>0.3</v>
      </c>
      <c r="EP224" s="268">
        <v>1</v>
      </c>
      <c r="EQ224" s="270">
        <v>0.2</v>
      </c>
      <c r="ER224" s="809">
        <v>0.2</v>
      </c>
      <c r="ES224" s="810">
        <v>0.3</v>
      </c>
      <c r="ET224" s="821">
        <v>0.3</v>
      </c>
    </row>
    <row r="225" spans="1:150" ht="42.75" customHeight="1" x14ac:dyDescent="0.2">
      <c r="A225" s="271" t="s">
        <v>90</v>
      </c>
      <c r="B225" s="424" t="s">
        <v>91</v>
      </c>
      <c r="C225" s="425" t="s">
        <v>992</v>
      </c>
      <c r="D225" s="425"/>
      <c r="E225" s="8" t="s">
        <v>818</v>
      </c>
      <c r="F225" s="275" t="str">
        <f t="shared" si="153"/>
        <v>E3.P_J</v>
      </c>
      <c r="G225" s="448" t="s">
        <v>354</v>
      </c>
      <c r="H225" s="448" t="s">
        <v>491</v>
      </c>
      <c r="I225" s="452"/>
      <c r="J225" s="453" t="s">
        <v>61</v>
      </c>
      <c r="K225" s="368" t="str">
        <f t="shared" si="154"/>
        <v>E3.P_J.MR1</v>
      </c>
      <c r="L225" s="632" t="s">
        <v>471</v>
      </c>
      <c r="M225" s="425" t="s">
        <v>1304</v>
      </c>
      <c r="N225" s="406">
        <v>1</v>
      </c>
      <c r="O225" s="407">
        <v>1</v>
      </c>
      <c r="P225" s="284" t="s">
        <v>1320</v>
      </c>
      <c r="Q225" s="284" t="str">
        <f t="shared" si="155"/>
        <v>E3.P_J.MR1-MP03-2</v>
      </c>
      <c r="R225" s="713" t="s">
        <v>1316</v>
      </c>
      <c r="S225" s="286" t="s">
        <v>1321</v>
      </c>
      <c r="T225" s="287">
        <v>0</v>
      </c>
      <c r="U225" s="288">
        <v>1</v>
      </c>
      <c r="V225" s="287" t="s">
        <v>67</v>
      </c>
      <c r="W225" s="315">
        <v>0.25</v>
      </c>
      <c r="X225" s="316">
        <v>0.25</v>
      </c>
      <c r="Y225" s="315">
        <v>0.25</v>
      </c>
      <c r="Z225" s="317">
        <v>0.25</v>
      </c>
      <c r="AA225" s="292"/>
      <c r="AB225" s="293"/>
      <c r="AC225" s="293"/>
      <c r="AD225" s="293"/>
      <c r="AE225" s="293"/>
      <c r="AF225" s="293"/>
      <c r="AG225" s="293"/>
      <c r="AH225" s="293"/>
      <c r="AI225" s="293"/>
      <c r="AJ225" s="293"/>
      <c r="AK225" s="293"/>
      <c r="AL225" s="293"/>
      <c r="AM225" s="293"/>
      <c r="AN225" s="293"/>
      <c r="AO225" s="293"/>
      <c r="AP225" s="293"/>
      <c r="AQ225" s="293"/>
      <c r="AR225" s="293"/>
      <c r="AS225" s="293"/>
      <c r="AT225" s="293"/>
      <c r="AU225" s="293"/>
      <c r="AV225" s="293"/>
      <c r="AW225" s="293"/>
      <c r="AX225" s="293"/>
      <c r="AY225" s="293"/>
      <c r="AZ225" s="293"/>
      <c r="BA225" s="293"/>
      <c r="BB225" s="293"/>
      <c r="BC225" s="294"/>
      <c r="BD225" s="295" t="s">
        <v>1221</v>
      </c>
      <c r="BS225" s="86" t="s">
        <v>470</v>
      </c>
      <c r="BT225" s="86" t="s">
        <v>471</v>
      </c>
      <c r="BU225" s="87" t="s">
        <v>1318</v>
      </c>
      <c r="BV225" s="84" t="s">
        <v>1316</v>
      </c>
      <c r="DH225" s="7" t="s">
        <v>1323</v>
      </c>
      <c r="DI225" s="7" t="s">
        <v>384</v>
      </c>
      <c r="DJ225" s="7" t="s">
        <v>490</v>
      </c>
      <c r="DK225" s="7" t="s">
        <v>491</v>
      </c>
      <c r="DL225" s="7" t="s">
        <v>489</v>
      </c>
      <c r="DQ225" s="7" t="s">
        <v>1318</v>
      </c>
      <c r="DR225" s="7" t="s">
        <v>1316</v>
      </c>
      <c r="EL225" s="816" t="s">
        <v>1322</v>
      </c>
      <c r="EM225" s="817" t="s">
        <v>1316</v>
      </c>
      <c r="EN225" s="267" t="s">
        <v>1321</v>
      </c>
      <c r="EO225" s="268">
        <v>0</v>
      </c>
      <c r="EP225" s="268">
        <v>1</v>
      </c>
      <c r="EQ225" s="323">
        <v>0</v>
      </c>
      <c r="ER225" s="810">
        <v>0</v>
      </c>
      <c r="ES225" s="810">
        <v>0.5</v>
      </c>
      <c r="ET225" s="821">
        <v>0.5</v>
      </c>
    </row>
    <row r="226" spans="1:150" ht="51.75" customHeight="1" x14ac:dyDescent="0.2">
      <c r="A226" s="271" t="s">
        <v>90</v>
      </c>
      <c r="B226" s="424" t="s">
        <v>91</v>
      </c>
      <c r="C226" s="425" t="s">
        <v>992</v>
      </c>
      <c r="D226" s="425"/>
      <c r="E226" s="8" t="s">
        <v>818</v>
      </c>
      <c r="F226" s="275" t="str">
        <f t="shared" si="153"/>
        <v>E3.P_J</v>
      </c>
      <c r="G226" s="448" t="s">
        <v>354</v>
      </c>
      <c r="H226" s="448" t="s">
        <v>491</v>
      </c>
      <c r="I226" s="452"/>
      <c r="J226" s="453" t="s">
        <v>61</v>
      </c>
      <c r="K226" s="368" t="str">
        <f t="shared" si="154"/>
        <v>E3.P_J.MR1</v>
      </c>
      <c r="L226" s="632" t="s">
        <v>471</v>
      </c>
      <c r="M226" s="425" t="s">
        <v>1304</v>
      </c>
      <c r="N226" s="406">
        <v>1</v>
      </c>
      <c r="O226" s="407">
        <v>1</v>
      </c>
      <c r="P226" s="284" t="s">
        <v>112</v>
      </c>
      <c r="Q226" s="284" t="str">
        <f t="shared" si="155"/>
        <v>E3.P_J.MR1-MP04-1</v>
      </c>
      <c r="R226" s="416" t="s">
        <v>1324</v>
      </c>
      <c r="S226" s="308" t="s">
        <v>1325</v>
      </c>
      <c r="T226" s="287">
        <v>1</v>
      </c>
      <c r="U226" s="288">
        <v>1</v>
      </c>
      <c r="V226" s="287" t="s">
        <v>102</v>
      </c>
      <c r="W226" s="315">
        <v>0.25</v>
      </c>
      <c r="X226" s="316">
        <v>0.25</v>
      </c>
      <c r="Y226" s="315">
        <v>0.25</v>
      </c>
      <c r="Z226" s="317">
        <v>0.25</v>
      </c>
      <c r="AA226" s="292"/>
      <c r="AB226" s="293"/>
      <c r="AC226" s="293"/>
      <c r="AD226" s="293"/>
      <c r="AE226" s="293"/>
      <c r="AF226" s="293"/>
      <c r="AG226" s="293"/>
      <c r="AH226" s="293"/>
      <c r="AI226" s="293"/>
      <c r="AJ226" s="293"/>
      <c r="AK226" s="293"/>
      <c r="AL226" s="293"/>
      <c r="AM226" s="293"/>
      <c r="AN226" s="293"/>
      <c r="AO226" s="293"/>
      <c r="AP226" s="293"/>
      <c r="AQ226" s="293"/>
      <c r="AR226" s="293"/>
      <c r="AS226" s="293"/>
      <c r="AT226" s="293"/>
      <c r="AU226" s="293"/>
      <c r="AV226" s="293"/>
      <c r="AW226" s="293"/>
      <c r="AX226" s="293"/>
      <c r="AY226" s="293"/>
      <c r="AZ226" s="293"/>
      <c r="BA226" s="293"/>
      <c r="BB226" s="293"/>
      <c r="BC226" s="294"/>
      <c r="BD226" s="295" t="s">
        <v>1221</v>
      </c>
      <c r="BS226" s="86" t="s">
        <v>470</v>
      </c>
      <c r="BT226" s="86" t="s">
        <v>471</v>
      </c>
      <c r="BU226" s="87" t="s">
        <v>1322</v>
      </c>
      <c r="BV226" s="84" t="s">
        <v>1316</v>
      </c>
      <c r="DH226" s="7" t="s">
        <v>1327</v>
      </c>
      <c r="DI226" s="7" t="s">
        <v>384</v>
      </c>
      <c r="DJ226" s="7" t="s">
        <v>490</v>
      </c>
      <c r="DK226" s="7" t="s">
        <v>491</v>
      </c>
      <c r="DL226" s="7" t="s">
        <v>489</v>
      </c>
      <c r="DQ226" s="7" t="s">
        <v>1322</v>
      </c>
      <c r="DR226" s="7" t="s">
        <v>1316</v>
      </c>
      <c r="EL226" s="816" t="s">
        <v>1326</v>
      </c>
      <c r="EM226" s="312" t="s">
        <v>1324</v>
      </c>
      <c r="EN226" s="268" t="s">
        <v>1325</v>
      </c>
      <c r="EO226" s="268">
        <v>1</v>
      </c>
      <c r="EP226" s="268">
        <v>1</v>
      </c>
      <c r="EQ226" s="323">
        <v>0.25</v>
      </c>
      <c r="ER226" s="323">
        <v>0.25</v>
      </c>
      <c r="ES226" s="323">
        <v>0.25</v>
      </c>
      <c r="ET226" s="819">
        <v>0.25</v>
      </c>
    </row>
    <row r="227" spans="1:150" ht="59.25" customHeight="1" x14ac:dyDescent="0.2">
      <c r="A227" s="271" t="s">
        <v>90</v>
      </c>
      <c r="B227" s="424" t="s">
        <v>91</v>
      </c>
      <c r="C227" s="425" t="s">
        <v>992</v>
      </c>
      <c r="D227" s="425"/>
      <c r="E227" s="8" t="s">
        <v>818</v>
      </c>
      <c r="F227" s="275" t="str">
        <f t="shared" si="153"/>
        <v>E3.P_J</v>
      </c>
      <c r="G227" s="448" t="s">
        <v>354</v>
      </c>
      <c r="H227" s="448" t="s">
        <v>491</v>
      </c>
      <c r="I227" s="452"/>
      <c r="J227" s="453" t="s">
        <v>61</v>
      </c>
      <c r="K227" s="368" t="str">
        <f t="shared" si="154"/>
        <v>E3.P_J.MR1</v>
      </c>
      <c r="L227" s="632" t="s">
        <v>471</v>
      </c>
      <c r="M227" s="425" t="s">
        <v>1304</v>
      </c>
      <c r="N227" s="406">
        <v>1</v>
      </c>
      <c r="O227" s="407">
        <v>1</v>
      </c>
      <c r="P227" s="284" t="s">
        <v>122</v>
      </c>
      <c r="Q227" s="284" t="str">
        <f t="shared" si="155"/>
        <v>E3.P_J.MR1-MP05-1</v>
      </c>
      <c r="R227" s="416" t="s">
        <v>1328</v>
      </c>
      <c r="S227" s="308" t="s">
        <v>1329</v>
      </c>
      <c r="T227" s="287">
        <v>0.25</v>
      </c>
      <c r="U227" s="288">
        <v>1</v>
      </c>
      <c r="V227" s="287" t="s">
        <v>67</v>
      </c>
      <c r="W227" s="309">
        <v>0.2</v>
      </c>
      <c r="X227" s="324">
        <v>0.3</v>
      </c>
      <c r="Y227" s="315">
        <v>0.25</v>
      </c>
      <c r="Z227" s="317">
        <v>0.25</v>
      </c>
      <c r="AA227" s="292"/>
      <c r="AB227" s="293"/>
      <c r="AC227" s="293"/>
      <c r="AD227" s="293"/>
      <c r="AE227" s="293"/>
      <c r="AF227" s="293"/>
      <c r="AG227" s="293"/>
      <c r="AH227" s="293"/>
      <c r="AI227" s="293"/>
      <c r="AJ227" s="293"/>
      <c r="AK227" s="293"/>
      <c r="AL227" s="293"/>
      <c r="AM227" s="293"/>
      <c r="AN227" s="293"/>
      <c r="AO227" s="293"/>
      <c r="AP227" s="293"/>
      <c r="AQ227" s="293"/>
      <c r="AR227" s="293"/>
      <c r="AS227" s="293"/>
      <c r="AT227" s="293"/>
      <c r="AU227" s="293"/>
      <c r="AV227" s="293"/>
      <c r="AW227" s="293"/>
      <c r="AX227" s="293"/>
      <c r="AY227" s="293"/>
      <c r="AZ227" s="293"/>
      <c r="BA227" s="293"/>
      <c r="BB227" s="293"/>
      <c r="BC227" s="294"/>
      <c r="BD227" s="295" t="s">
        <v>1221</v>
      </c>
      <c r="BS227" s="86" t="s">
        <v>470</v>
      </c>
      <c r="BT227" s="86" t="s">
        <v>471</v>
      </c>
      <c r="BU227" s="87" t="s">
        <v>1326</v>
      </c>
      <c r="BV227" s="84" t="s">
        <v>1324</v>
      </c>
      <c r="DH227" s="7" t="s">
        <v>1331</v>
      </c>
      <c r="DI227" s="7" t="s">
        <v>384</v>
      </c>
      <c r="DJ227" s="7" t="s">
        <v>490</v>
      </c>
      <c r="DK227" s="7" t="s">
        <v>491</v>
      </c>
      <c r="DL227" s="7" t="s">
        <v>489</v>
      </c>
      <c r="DQ227" s="7" t="s">
        <v>1326</v>
      </c>
      <c r="DR227" s="7" t="s">
        <v>1324</v>
      </c>
      <c r="EL227" s="816" t="s">
        <v>1330</v>
      </c>
      <c r="EM227" s="312" t="s">
        <v>1328</v>
      </c>
      <c r="EN227" s="268" t="s">
        <v>1329</v>
      </c>
      <c r="EO227" s="268">
        <v>0.25</v>
      </c>
      <c r="EP227" s="268">
        <v>1</v>
      </c>
      <c r="EQ227" s="270">
        <v>0.2</v>
      </c>
      <c r="ER227" s="270">
        <v>0.3</v>
      </c>
      <c r="ES227" s="323">
        <v>0.25</v>
      </c>
      <c r="ET227" s="819">
        <v>0.25</v>
      </c>
    </row>
    <row r="228" spans="1:150" ht="53.25" customHeight="1" thickBot="1" x14ac:dyDescent="0.25">
      <c r="A228" s="271" t="s">
        <v>90</v>
      </c>
      <c r="B228" s="424" t="s">
        <v>91</v>
      </c>
      <c r="C228" s="425" t="s">
        <v>992</v>
      </c>
      <c r="D228" s="425"/>
      <c r="E228" s="8" t="s">
        <v>818</v>
      </c>
      <c r="F228" s="275" t="str">
        <f t="shared" si="153"/>
        <v>E3.P_J</v>
      </c>
      <c r="G228" s="560" t="s">
        <v>354</v>
      </c>
      <c r="H228" s="560" t="s">
        <v>491</v>
      </c>
      <c r="I228" s="458"/>
      <c r="J228" s="459" t="s">
        <v>61</v>
      </c>
      <c r="K228" s="460" t="str">
        <f t="shared" si="154"/>
        <v>E3.P_J.MR1</v>
      </c>
      <c r="L228" s="633" t="s">
        <v>471</v>
      </c>
      <c r="M228" s="593" t="s">
        <v>1304</v>
      </c>
      <c r="N228" s="409">
        <v>1</v>
      </c>
      <c r="O228" s="410">
        <v>1</v>
      </c>
      <c r="P228" s="341" t="s">
        <v>132</v>
      </c>
      <c r="Q228" s="342" t="str">
        <f t="shared" si="155"/>
        <v>E3.P_J.MR1-MP06-1</v>
      </c>
      <c r="R228" s="471" t="s">
        <v>1332</v>
      </c>
      <c r="S228" s="331" t="s">
        <v>1333</v>
      </c>
      <c r="T228" s="332">
        <v>1</v>
      </c>
      <c r="U228" s="333">
        <v>4</v>
      </c>
      <c r="V228" s="345" t="s">
        <v>67</v>
      </c>
      <c r="W228" s="347">
        <v>1</v>
      </c>
      <c r="X228" s="348">
        <v>1</v>
      </c>
      <c r="Y228" s="347">
        <v>1</v>
      </c>
      <c r="Z228" s="349">
        <v>1</v>
      </c>
      <c r="AA228" s="292"/>
      <c r="AB228" s="293"/>
      <c r="AC228" s="293"/>
      <c r="AD228" s="293"/>
      <c r="AE228" s="293"/>
      <c r="AF228" s="293"/>
      <c r="AG228" s="293"/>
      <c r="AH228" s="293"/>
      <c r="AI228" s="293"/>
      <c r="AJ228" s="293"/>
      <c r="AK228" s="293"/>
      <c r="AL228" s="293"/>
      <c r="AM228" s="293"/>
      <c r="AN228" s="293"/>
      <c r="AO228" s="293"/>
      <c r="AP228" s="293"/>
      <c r="AQ228" s="293"/>
      <c r="AR228" s="293"/>
      <c r="AS228" s="293"/>
      <c r="AT228" s="293"/>
      <c r="AU228" s="293"/>
      <c r="AV228" s="293"/>
      <c r="AW228" s="293"/>
      <c r="AX228" s="293"/>
      <c r="AY228" s="293"/>
      <c r="AZ228" s="293"/>
      <c r="BA228" s="293"/>
      <c r="BB228" s="293"/>
      <c r="BC228" s="294"/>
      <c r="BD228" s="295" t="s">
        <v>1221</v>
      </c>
      <c r="BS228" s="86" t="s">
        <v>470</v>
      </c>
      <c r="BT228" s="86" t="s">
        <v>471</v>
      </c>
      <c r="BU228" s="87" t="s">
        <v>1330</v>
      </c>
      <c r="BV228" s="84" t="s">
        <v>1328</v>
      </c>
      <c r="DH228" s="7" t="s">
        <v>1335</v>
      </c>
      <c r="DI228" s="7" t="s">
        <v>384</v>
      </c>
      <c r="DJ228" s="7" t="s">
        <v>490</v>
      </c>
      <c r="DK228" s="7" t="s">
        <v>491</v>
      </c>
      <c r="DL228" s="7" t="s">
        <v>489</v>
      </c>
      <c r="DQ228" s="7" t="s">
        <v>1330</v>
      </c>
      <c r="DR228" s="7" t="s">
        <v>1328</v>
      </c>
      <c r="EL228" s="816" t="s">
        <v>1334</v>
      </c>
      <c r="EM228" s="312" t="s">
        <v>1332</v>
      </c>
      <c r="EN228" s="268" t="s">
        <v>1333</v>
      </c>
      <c r="EO228" s="268">
        <v>1</v>
      </c>
      <c r="EP228" s="268">
        <v>4</v>
      </c>
      <c r="EQ228" s="269">
        <v>0</v>
      </c>
      <c r="ER228" s="808">
        <v>1</v>
      </c>
      <c r="ES228" s="808">
        <v>3</v>
      </c>
      <c r="ET228" s="824">
        <v>0</v>
      </c>
    </row>
    <row r="229" spans="1:150" ht="174" customHeight="1" thickBot="1" x14ac:dyDescent="0.25">
      <c r="A229" s="271" t="s">
        <v>90</v>
      </c>
      <c r="B229" s="424" t="s">
        <v>91</v>
      </c>
      <c r="C229" s="425" t="s">
        <v>992</v>
      </c>
      <c r="D229" s="426" t="s">
        <v>1217</v>
      </c>
      <c r="E229" s="25" t="s">
        <v>1336</v>
      </c>
      <c r="F229" s="714" t="str">
        <f t="shared" si="153"/>
        <v>E3.P_K</v>
      </c>
      <c r="G229" s="715" t="s">
        <v>365</v>
      </c>
      <c r="H229" s="716" t="s">
        <v>499</v>
      </c>
      <c r="I229" s="656" t="s">
        <v>1337</v>
      </c>
      <c r="J229" s="717" t="s">
        <v>61</v>
      </c>
      <c r="K229" s="718" t="str">
        <f t="shared" si="154"/>
        <v>E3.P_K.MR1</v>
      </c>
      <c r="L229" s="571" t="s">
        <v>479</v>
      </c>
      <c r="M229" s="572" t="s">
        <v>1338</v>
      </c>
      <c r="N229" s="580">
        <v>0</v>
      </c>
      <c r="O229" s="659">
        <v>23</v>
      </c>
      <c r="P229" s="719" t="s">
        <v>64</v>
      </c>
      <c r="Q229" s="25" t="str">
        <f t="shared" si="155"/>
        <v>E3.P_K.MR1-MP01-1</v>
      </c>
      <c r="R229" s="572" t="s">
        <v>1339</v>
      </c>
      <c r="S229" s="660" t="s">
        <v>1340</v>
      </c>
      <c r="T229" s="579">
        <v>0</v>
      </c>
      <c r="U229" s="580">
        <v>23</v>
      </c>
      <c r="V229" s="579" t="s">
        <v>67</v>
      </c>
      <c r="W229" s="720">
        <v>4</v>
      </c>
      <c r="X229" s="721">
        <v>2</v>
      </c>
      <c r="Y229" s="720">
        <v>9</v>
      </c>
      <c r="Z229" s="722">
        <v>8</v>
      </c>
      <c r="AA229" s="723">
        <f>200000000+150000000+1915448+354547783</f>
        <v>706463231</v>
      </c>
      <c r="AB229" s="724">
        <v>0</v>
      </c>
      <c r="AC229" s="724">
        <v>0</v>
      </c>
      <c r="AD229" s="724">
        <v>0</v>
      </c>
      <c r="AE229" s="724">
        <v>0</v>
      </c>
      <c r="AF229" s="724">
        <v>493536769</v>
      </c>
      <c r="AG229" s="724">
        <f t="shared" ref="AG229:AG230" si="188">SUM(AA229:AF229)</f>
        <v>1200000000</v>
      </c>
      <c r="AH229" s="724">
        <f t="shared" ref="AH229:AM229" si="189">AA229*1.035</f>
        <v>731189444.08499992</v>
      </c>
      <c r="AI229" s="724">
        <f t="shared" si="189"/>
        <v>0</v>
      </c>
      <c r="AJ229" s="724">
        <f t="shared" si="189"/>
        <v>0</v>
      </c>
      <c r="AK229" s="724">
        <f t="shared" si="189"/>
        <v>0</v>
      </c>
      <c r="AL229" s="724">
        <f t="shared" si="189"/>
        <v>0</v>
      </c>
      <c r="AM229" s="724">
        <f t="shared" si="189"/>
        <v>510810555.91499996</v>
      </c>
      <c r="AN229" s="724">
        <f t="shared" ref="AN229:AN230" si="190">SUM(AH229:AM229)</f>
        <v>1242000000</v>
      </c>
      <c r="AO229" s="724">
        <f t="shared" ref="AO229:AT229" si="191">AH229*1.035</f>
        <v>756781074.62797487</v>
      </c>
      <c r="AP229" s="724">
        <f t="shared" si="191"/>
        <v>0</v>
      </c>
      <c r="AQ229" s="724">
        <f t="shared" si="191"/>
        <v>0</v>
      </c>
      <c r="AR229" s="724">
        <f t="shared" si="191"/>
        <v>0</v>
      </c>
      <c r="AS229" s="724">
        <f t="shared" si="191"/>
        <v>0</v>
      </c>
      <c r="AT229" s="724">
        <f t="shared" si="191"/>
        <v>528688925.37202489</v>
      </c>
      <c r="AU229" s="724">
        <f t="shared" ref="AU229:AU230" si="192">SUM(AO229:AT229)</f>
        <v>1285469999.9999998</v>
      </c>
      <c r="AV229" s="724">
        <f t="shared" ref="AV229:BA229" si="193">AO229*1.035</f>
        <v>783268412.23995388</v>
      </c>
      <c r="AW229" s="724">
        <f t="shared" si="193"/>
        <v>0</v>
      </c>
      <c r="AX229" s="724">
        <f t="shared" si="193"/>
        <v>0</v>
      </c>
      <c r="AY229" s="724">
        <f t="shared" si="193"/>
        <v>0</v>
      </c>
      <c r="AZ229" s="724">
        <f t="shared" si="193"/>
        <v>0</v>
      </c>
      <c r="BA229" s="724">
        <f t="shared" si="193"/>
        <v>547193037.76004577</v>
      </c>
      <c r="BB229" s="724">
        <f t="shared" ref="BB229:BB230" si="194">SUM(AV229:BA229)</f>
        <v>1330461449.9999995</v>
      </c>
      <c r="BC229" s="725">
        <f t="shared" ref="BC229:BC230" si="195">+BB229+AU229+AN229+AG229</f>
        <v>5057931449.999999</v>
      </c>
      <c r="BD229" s="295" t="s">
        <v>1221</v>
      </c>
      <c r="BS229" s="86" t="s">
        <v>470</v>
      </c>
      <c r="BT229" s="86" t="s">
        <v>471</v>
      </c>
      <c r="BU229" s="87" t="s">
        <v>1334</v>
      </c>
      <c r="BV229" s="84" t="s">
        <v>1332</v>
      </c>
      <c r="BW229" s="726"/>
      <c r="DH229" s="7" t="s">
        <v>1342</v>
      </c>
      <c r="DI229" s="7" t="s">
        <v>384</v>
      </c>
      <c r="DJ229" s="7" t="s">
        <v>490</v>
      </c>
      <c r="DK229" s="7" t="s">
        <v>491</v>
      </c>
      <c r="DL229" s="7" t="s">
        <v>489</v>
      </c>
      <c r="DQ229" s="7" t="s">
        <v>1334</v>
      </c>
      <c r="DR229" s="7" t="s">
        <v>1332</v>
      </c>
      <c r="EL229" s="822" t="s">
        <v>1341</v>
      </c>
      <c r="EM229" s="312" t="s">
        <v>1339</v>
      </c>
      <c r="EN229" s="268" t="s">
        <v>1340</v>
      </c>
      <c r="EO229" s="268">
        <v>0</v>
      </c>
      <c r="EP229" s="268">
        <v>23</v>
      </c>
      <c r="EQ229" s="269">
        <v>4</v>
      </c>
      <c r="ER229" s="808">
        <v>10</v>
      </c>
      <c r="ES229" s="808">
        <v>6</v>
      </c>
      <c r="ET229" s="824">
        <v>3</v>
      </c>
    </row>
    <row r="230" spans="1:150" ht="100.5" customHeight="1" x14ac:dyDescent="0.2">
      <c r="A230" s="271" t="s">
        <v>90</v>
      </c>
      <c r="B230" s="424" t="s">
        <v>91</v>
      </c>
      <c r="C230" s="425" t="s">
        <v>992</v>
      </c>
      <c r="D230" s="426" t="s">
        <v>1127</v>
      </c>
      <c r="E230" s="26" t="s">
        <v>1343</v>
      </c>
      <c r="F230" s="233" t="str">
        <f t="shared" si="153"/>
        <v>E3.P_L</v>
      </c>
      <c r="G230" s="727" t="s">
        <v>379</v>
      </c>
      <c r="H230" s="235" t="s">
        <v>507</v>
      </c>
      <c r="I230" s="651" t="s">
        <v>1344</v>
      </c>
      <c r="J230" s="450" t="s">
        <v>61</v>
      </c>
      <c r="K230" s="451" t="str">
        <f t="shared" si="154"/>
        <v>E3.P_L.MR1</v>
      </c>
      <c r="L230" s="510" t="s">
        <v>487</v>
      </c>
      <c r="M230" s="728" t="s">
        <v>1345</v>
      </c>
      <c r="N230" s="729" t="s">
        <v>1346</v>
      </c>
      <c r="O230" s="730" t="s">
        <v>1347</v>
      </c>
      <c r="P230" s="705" t="s">
        <v>64</v>
      </c>
      <c r="Q230" s="706" t="str">
        <f t="shared" si="155"/>
        <v>E3.P_L.MR1-MP01-1</v>
      </c>
      <c r="R230" s="617" t="s">
        <v>1348</v>
      </c>
      <c r="S230" s="515" t="s">
        <v>1349</v>
      </c>
      <c r="T230" s="516">
        <v>3</v>
      </c>
      <c r="U230" s="517">
        <v>3</v>
      </c>
      <c r="V230" s="516" t="s">
        <v>67</v>
      </c>
      <c r="W230" s="620">
        <v>0.2</v>
      </c>
      <c r="X230" s="621">
        <v>0.8</v>
      </c>
      <c r="Y230" s="518">
        <v>1</v>
      </c>
      <c r="Z230" s="664">
        <v>1</v>
      </c>
      <c r="AA230" s="585">
        <f>5419364376-6121067476+701703100</f>
        <v>0</v>
      </c>
      <c r="AB230" s="586">
        <v>980802926</v>
      </c>
      <c r="AC230" s="586">
        <v>510000000</v>
      </c>
      <c r="AD230" s="586">
        <v>0</v>
      </c>
      <c r="AE230" s="586">
        <v>0</v>
      </c>
      <c r="AF230" s="586">
        <v>4347947000</v>
      </c>
      <c r="AG230" s="586">
        <f t="shared" si="188"/>
        <v>5838749926</v>
      </c>
      <c r="AH230" s="586">
        <f>AA230*1.035</f>
        <v>0</v>
      </c>
      <c r="AI230" s="586">
        <v>800000000</v>
      </c>
      <c r="AJ230" s="586">
        <v>395529000</v>
      </c>
      <c r="AK230" s="586">
        <f>AD230*1.035</f>
        <v>0</v>
      </c>
      <c r="AL230" s="586">
        <f>AE230*1.035</f>
        <v>0</v>
      </c>
      <c r="AM230" s="586">
        <v>4855322000</v>
      </c>
      <c r="AN230" s="586">
        <f t="shared" si="190"/>
        <v>6050851000</v>
      </c>
      <c r="AO230" s="586">
        <f>AH230*1.035</f>
        <v>0</v>
      </c>
      <c r="AP230" s="586">
        <v>1050660000</v>
      </c>
      <c r="AQ230" s="586">
        <v>199710000</v>
      </c>
      <c r="AR230" s="586">
        <f>AK230*1.035</f>
        <v>0</v>
      </c>
      <c r="AS230" s="586">
        <f>AL230*1.035</f>
        <v>0</v>
      </c>
      <c r="AT230" s="586">
        <v>5124277000</v>
      </c>
      <c r="AU230" s="586">
        <f t="shared" si="192"/>
        <v>6374647000</v>
      </c>
      <c r="AV230" s="586">
        <v>624555000</v>
      </c>
      <c r="AW230" s="586">
        <f>AP230*1.035</f>
        <v>1087433100</v>
      </c>
      <c r="AX230" s="586">
        <v>0</v>
      </c>
      <c r="AY230" s="586">
        <f>AR230*1.035</f>
        <v>0</v>
      </c>
      <c r="AZ230" s="586">
        <f>AS230*1.035</f>
        <v>0</v>
      </c>
      <c r="BA230" s="586">
        <v>4639918000</v>
      </c>
      <c r="BB230" s="586">
        <f t="shared" si="194"/>
        <v>6351906100</v>
      </c>
      <c r="BC230" s="654">
        <f t="shared" si="195"/>
        <v>24616154026</v>
      </c>
      <c r="BD230" s="295" t="s">
        <v>1127</v>
      </c>
      <c r="BS230" s="84" t="s">
        <v>478</v>
      </c>
      <c r="BT230" s="84" t="s">
        <v>479</v>
      </c>
      <c r="BU230" s="87" t="s">
        <v>1341</v>
      </c>
      <c r="BV230" s="84" t="s">
        <v>1339</v>
      </c>
      <c r="DH230" s="7" t="s">
        <v>1351</v>
      </c>
      <c r="DI230" s="7" t="s">
        <v>384</v>
      </c>
      <c r="DJ230" s="7" t="s">
        <v>498</v>
      </c>
      <c r="DK230" s="7" t="s">
        <v>499</v>
      </c>
      <c r="DL230" s="7" t="s">
        <v>497</v>
      </c>
      <c r="DQ230" s="7" t="s">
        <v>1341</v>
      </c>
      <c r="DR230" s="7" t="s">
        <v>1339</v>
      </c>
      <c r="EL230" s="816" t="s">
        <v>1350</v>
      </c>
      <c r="EM230" s="312" t="s">
        <v>1348</v>
      </c>
      <c r="EN230" s="268" t="s">
        <v>1349</v>
      </c>
      <c r="EO230" s="268">
        <v>3</v>
      </c>
      <c r="EP230" s="268">
        <v>3</v>
      </c>
      <c r="EQ230" s="270">
        <v>0.2</v>
      </c>
      <c r="ER230" s="809">
        <v>0.2</v>
      </c>
      <c r="ES230" s="809">
        <v>1.4</v>
      </c>
      <c r="ET230" s="818">
        <v>1.2</v>
      </c>
    </row>
    <row r="231" spans="1:150" ht="54" customHeight="1" x14ac:dyDescent="0.2">
      <c r="A231" s="271" t="s">
        <v>90</v>
      </c>
      <c r="B231" s="424" t="s">
        <v>91</v>
      </c>
      <c r="C231" s="425" t="s">
        <v>992</v>
      </c>
      <c r="D231" s="425"/>
      <c r="E231" s="8" t="s">
        <v>1343</v>
      </c>
      <c r="F231" s="275" t="str">
        <f t="shared" si="153"/>
        <v>E3.P_L</v>
      </c>
      <c r="G231" s="448" t="s">
        <v>379</v>
      </c>
      <c r="H231" s="448" t="s">
        <v>507</v>
      </c>
      <c r="I231" s="731"/>
      <c r="J231" s="275" t="s">
        <v>61</v>
      </c>
      <c r="K231" s="643" t="str">
        <f t="shared" si="154"/>
        <v>E3.P_L.MR1</v>
      </c>
      <c r="L231" s="404" t="s">
        <v>487</v>
      </c>
      <c r="M231" s="405" t="s">
        <v>1352</v>
      </c>
      <c r="N231" s="732" t="s">
        <v>1346</v>
      </c>
      <c r="O231" s="733" t="s">
        <v>1347</v>
      </c>
      <c r="P231" s="707" t="s">
        <v>87</v>
      </c>
      <c r="Q231" s="708" t="str">
        <f t="shared" si="155"/>
        <v>E3.P_L.MR1-MP02-1</v>
      </c>
      <c r="R231" s="623" t="s">
        <v>1353</v>
      </c>
      <c r="S231" s="524" t="s">
        <v>1354</v>
      </c>
      <c r="T231" s="525">
        <v>0</v>
      </c>
      <c r="U231" s="535">
        <v>0.8</v>
      </c>
      <c r="V231" s="534" t="s">
        <v>67</v>
      </c>
      <c r="W231" s="529">
        <v>0</v>
      </c>
      <c r="X231" s="528">
        <v>0.4</v>
      </c>
      <c r="Y231" s="527">
        <v>0.2</v>
      </c>
      <c r="Z231" s="536">
        <v>0.2</v>
      </c>
      <c r="AA231" s="537"/>
      <c r="AB231" s="538"/>
      <c r="AC231" s="538"/>
      <c r="AD231" s="538"/>
      <c r="AE231" s="538"/>
      <c r="AF231" s="538"/>
      <c r="AG231" s="538"/>
      <c r="AH231" s="538"/>
      <c r="AI231" s="538"/>
      <c r="AJ231" s="538"/>
      <c r="AK231" s="538"/>
      <c r="AL231" s="538"/>
      <c r="AM231" s="538"/>
      <c r="AN231" s="538"/>
      <c r="AO231" s="538"/>
      <c r="AP231" s="538"/>
      <c r="AQ231" s="538"/>
      <c r="AR231" s="538"/>
      <c r="AS231" s="538"/>
      <c r="AT231" s="538"/>
      <c r="AU231" s="538"/>
      <c r="AV231" s="538"/>
      <c r="AW231" s="538"/>
      <c r="AX231" s="538"/>
      <c r="AY231" s="538"/>
      <c r="AZ231" s="538"/>
      <c r="BA231" s="538"/>
      <c r="BB231" s="538"/>
      <c r="BC231" s="539"/>
      <c r="BD231" s="295" t="s">
        <v>1127</v>
      </c>
      <c r="BS231" s="84" t="s">
        <v>486</v>
      </c>
      <c r="BT231" s="84" t="s">
        <v>487</v>
      </c>
      <c r="BU231" s="87" t="s">
        <v>1350</v>
      </c>
      <c r="BV231" s="84" t="s">
        <v>1348</v>
      </c>
      <c r="DH231" s="7" t="s">
        <v>1356</v>
      </c>
      <c r="DI231" s="7" t="s">
        <v>384</v>
      </c>
      <c r="DJ231" s="7" t="s">
        <v>506</v>
      </c>
      <c r="DK231" s="7" t="s">
        <v>507</v>
      </c>
      <c r="DL231" s="7" t="s">
        <v>505</v>
      </c>
      <c r="DQ231" s="7" t="s">
        <v>1350</v>
      </c>
      <c r="DR231" s="7" t="s">
        <v>1348</v>
      </c>
      <c r="EL231" s="816" t="s">
        <v>1355</v>
      </c>
      <c r="EM231" s="312" t="s">
        <v>1353</v>
      </c>
      <c r="EN231" s="268" t="s">
        <v>1354</v>
      </c>
      <c r="EO231" s="268">
        <v>0</v>
      </c>
      <c r="EP231" s="269">
        <v>80</v>
      </c>
      <c r="EQ231" s="269">
        <v>0</v>
      </c>
      <c r="ER231" s="809">
        <v>0</v>
      </c>
      <c r="ES231" s="270">
        <v>20</v>
      </c>
      <c r="ET231" s="818">
        <v>60</v>
      </c>
    </row>
    <row r="232" spans="1:150" ht="46.5" customHeight="1" x14ac:dyDescent="0.2">
      <c r="A232" s="271" t="s">
        <v>90</v>
      </c>
      <c r="B232" s="424" t="s">
        <v>91</v>
      </c>
      <c r="C232" s="425" t="s">
        <v>992</v>
      </c>
      <c r="D232" s="425"/>
      <c r="E232" s="8" t="s">
        <v>1343</v>
      </c>
      <c r="F232" s="275" t="str">
        <f t="shared" si="153"/>
        <v>E3.P_L</v>
      </c>
      <c r="G232" s="448" t="s">
        <v>379</v>
      </c>
      <c r="H232" s="448" t="s">
        <v>507</v>
      </c>
      <c r="I232" s="731"/>
      <c r="J232" s="275" t="s">
        <v>61</v>
      </c>
      <c r="K232" s="643" t="str">
        <f t="shared" si="154"/>
        <v>E3.P_L.MR1</v>
      </c>
      <c r="L232" s="404" t="s">
        <v>487</v>
      </c>
      <c r="M232" s="405" t="s">
        <v>1352</v>
      </c>
      <c r="N232" s="732" t="s">
        <v>1346</v>
      </c>
      <c r="O232" s="733" t="s">
        <v>1347</v>
      </c>
      <c r="P232" s="707" t="s">
        <v>99</v>
      </c>
      <c r="Q232" s="708" t="str">
        <f t="shared" si="155"/>
        <v>E3.P_L.MR1-MP03-1</v>
      </c>
      <c r="R232" s="623" t="s">
        <v>1357</v>
      </c>
      <c r="S232" s="524" t="s">
        <v>305</v>
      </c>
      <c r="T232" s="665">
        <v>1</v>
      </c>
      <c r="U232" s="666">
        <v>1</v>
      </c>
      <c r="V232" s="665" t="s">
        <v>102</v>
      </c>
      <c r="W232" s="529">
        <v>0</v>
      </c>
      <c r="X232" s="670">
        <v>1</v>
      </c>
      <c r="Y232" s="529">
        <v>0</v>
      </c>
      <c r="Z232" s="530">
        <v>0</v>
      </c>
      <c r="AA232" s="667"/>
      <c r="AB232" s="668"/>
      <c r="AC232" s="668"/>
      <c r="AD232" s="668"/>
      <c r="AE232" s="668"/>
      <c r="AF232" s="668"/>
      <c r="AG232" s="668"/>
      <c r="AH232" s="668"/>
      <c r="AI232" s="668"/>
      <c r="AJ232" s="668"/>
      <c r="AK232" s="668"/>
      <c r="AL232" s="668"/>
      <c r="AM232" s="668"/>
      <c r="AN232" s="668"/>
      <c r="AO232" s="668"/>
      <c r="AP232" s="668"/>
      <c r="AQ232" s="668"/>
      <c r="AR232" s="668"/>
      <c r="AS232" s="668"/>
      <c r="AT232" s="668"/>
      <c r="AU232" s="668"/>
      <c r="AV232" s="668"/>
      <c r="AW232" s="668"/>
      <c r="AX232" s="668"/>
      <c r="AY232" s="668"/>
      <c r="AZ232" s="668"/>
      <c r="BA232" s="668"/>
      <c r="BB232" s="668"/>
      <c r="BC232" s="669"/>
      <c r="BD232" s="295" t="s">
        <v>1127</v>
      </c>
      <c r="BS232" s="86" t="s">
        <v>486</v>
      </c>
      <c r="BT232" s="86" t="s">
        <v>487</v>
      </c>
      <c r="BU232" s="87" t="s">
        <v>1355</v>
      </c>
      <c r="BV232" s="84" t="s">
        <v>1353</v>
      </c>
      <c r="DH232" s="7" t="s">
        <v>1359</v>
      </c>
      <c r="DI232" s="7" t="s">
        <v>384</v>
      </c>
      <c r="DJ232" s="7" t="s">
        <v>506</v>
      </c>
      <c r="DK232" s="7" t="s">
        <v>507</v>
      </c>
      <c r="DL232" s="7" t="s">
        <v>505</v>
      </c>
      <c r="DQ232" s="7" t="s">
        <v>1355</v>
      </c>
      <c r="DR232" s="7" t="s">
        <v>1353</v>
      </c>
      <c r="EL232" s="816" t="s">
        <v>1358</v>
      </c>
      <c r="EM232" s="312" t="s">
        <v>1357</v>
      </c>
      <c r="EN232" s="268" t="s">
        <v>305</v>
      </c>
      <c r="EO232" s="380">
        <v>1</v>
      </c>
      <c r="EP232" s="380">
        <v>1</v>
      </c>
      <c r="EQ232" s="270">
        <v>0.5</v>
      </c>
      <c r="ER232" s="809">
        <v>0.2</v>
      </c>
      <c r="ES232" s="809">
        <v>0.2</v>
      </c>
      <c r="ET232" s="818">
        <v>0.1</v>
      </c>
    </row>
    <row r="233" spans="1:150" ht="39" customHeight="1" x14ac:dyDescent="0.2">
      <c r="A233" s="271" t="s">
        <v>90</v>
      </c>
      <c r="B233" s="424" t="s">
        <v>91</v>
      </c>
      <c r="C233" s="425" t="s">
        <v>992</v>
      </c>
      <c r="D233" s="425"/>
      <c r="E233" s="8" t="s">
        <v>1343</v>
      </c>
      <c r="F233" s="275" t="str">
        <f t="shared" si="153"/>
        <v>E3.P_L</v>
      </c>
      <c r="G233" s="448" t="s">
        <v>379</v>
      </c>
      <c r="H233" s="448" t="s">
        <v>507</v>
      </c>
      <c r="I233" s="731"/>
      <c r="J233" s="275" t="s">
        <v>61</v>
      </c>
      <c r="K233" s="643" t="str">
        <f t="shared" si="154"/>
        <v>E3.P_L.MR1</v>
      </c>
      <c r="L233" s="404" t="s">
        <v>487</v>
      </c>
      <c r="M233" s="405" t="s">
        <v>1352</v>
      </c>
      <c r="N233" s="732" t="s">
        <v>1346</v>
      </c>
      <c r="O233" s="733" t="s">
        <v>1347</v>
      </c>
      <c r="P233" s="708" t="s">
        <v>112</v>
      </c>
      <c r="Q233" s="708" t="str">
        <f t="shared" si="155"/>
        <v>E3.P_L.MR1-MP04-1</v>
      </c>
      <c r="R233" s="523" t="s">
        <v>1360</v>
      </c>
      <c r="S233" s="690" t="s">
        <v>1361</v>
      </c>
      <c r="T233" s="665">
        <v>0</v>
      </c>
      <c r="U233" s="666">
        <v>1</v>
      </c>
      <c r="V233" s="665" t="s">
        <v>67</v>
      </c>
      <c r="W233" s="529">
        <v>0</v>
      </c>
      <c r="X233" s="670">
        <v>1</v>
      </c>
      <c r="Y233" s="529">
        <v>0</v>
      </c>
      <c r="Z233" s="530">
        <v>0</v>
      </c>
      <c r="AA233" s="667"/>
      <c r="AB233" s="668"/>
      <c r="AC233" s="668"/>
      <c r="AD233" s="668"/>
      <c r="AE233" s="668"/>
      <c r="AF233" s="668"/>
      <c r="AG233" s="668"/>
      <c r="AH233" s="668"/>
      <c r="AI233" s="668"/>
      <c r="AJ233" s="668"/>
      <c r="AK233" s="668"/>
      <c r="AL233" s="668"/>
      <c r="AM233" s="668"/>
      <c r="AN233" s="668"/>
      <c r="AO233" s="668"/>
      <c r="AP233" s="668"/>
      <c r="AQ233" s="668"/>
      <c r="AR233" s="668"/>
      <c r="AS233" s="668"/>
      <c r="AT233" s="668"/>
      <c r="AU233" s="668"/>
      <c r="AV233" s="668"/>
      <c r="AW233" s="668"/>
      <c r="AX233" s="668"/>
      <c r="AY233" s="668"/>
      <c r="AZ233" s="668"/>
      <c r="BA233" s="668"/>
      <c r="BB233" s="668"/>
      <c r="BC233" s="669"/>
      <c r="BD233" s="295" t="s">
        <v>1127</v>
      </c>
      <c r="BS233" s="86" t="s">
        <v>486</v>
      </c>
      <c r="BT233" s="86" t="s">
        <v>487</v>
      </c>
      <c r="BU233" s="87" t="s">
        <v>1358</v>
      </c>
      <c r="BV233" s="84" t="s">
        <v>1357</v>
      </c>
      <c r="DH233" s="7" t="s">
        <v>1363</v>
      </c>
      <c r="DI233" s="7" t="s">
        <v>384</v>
      </c>
      <c r="DJ233" s="7" t="s">
        <v>506</v>
      </c>
      <c r="DK233" s="7" t="s">
        <v>507</v>
      </c>
      <c r="DL233" s="7" t="s">
        <v>505</v>
      </c>
      <c r="DQ233" s="7" t="s">
        <v>1358</v>
      </c>
      <c r="DR233" s="7" t="s">
        <v>1357</v>
      </c>
      <c r="EL233" s="816" t="s">
        <v>1362</v>
      </c>
      <c r="EM233" s="817" t="s">
        <v>1360</v>
      </c>
      <c r="EN233" s="267" t="s">
        <v>1361</v>
      </c>
      <c r="EO233" s="380">
        <v>0</v>
      </c>
      <c r="EP233" s="380">
        <v>1</v>
      </c>
      <c r="EQ233" s="269">
        <v>0</v>
      </c>
      <c r="ER233" s="809">
        <v>0.4</v>
      </c>
      <c r="ES233" s="809">
        <v>0.6</v>
      </c>
      <c r="ET233" s="820">
        <v>0</v>
      </c>
    </row>
    <row r="234" spans="1:150" ht="39" customHeight="1" x14ac:dyDescent="0.2">
      <c r="A234" s="271" t="s">
        <v>90</v>
      </c>
      <c r="B234" s="424" t="s">
        <v>91</v>
      </c>
      <c r="C234" s="425" t="s">
        <v>992</v>
      </c>
      <c r="D234" s="425"/>
      <c r="E234" s="8" t="s">
        <v>1343</v>
      </c>
      <c r="F234" s="275" t="str">
        <f t="shared" si="153"/>
        <v>E3.P_L</v>
      </c>
      <c r="G234" s="448" t="s">
        <v>379</v>
      </c>
      <c r="H234" s="448" t="s">
        <v>507</v>
      </c>
      <c r="I234" s="731"/>
      <c r="J234" s="275" t="s">
        <v>61</v>
      </c>
      <c r="K234" s="643" t="str">
        <f t="shared" si="154"/>
        <v>E3.P_L.MR1</v>
      </c>
      <c r="L234" s="404" t="s">
        <v>487</v>
      </c>
      <c r="M234" s="405" t="s">
        <v>1352</v>
      </c>
      <c r="N234" s="732" t="s">
        <v>1346</v>
      </c>
      <c r="O234" s="733" t="s">
        <v>1347</v>
      </c>
      <c r="P234" s="708" t="s">
        <v>1364</v>
      </c>
      <c r="Q234" s="708" t="str">
        <f t="shared" si="155"/>
        <v>E3.P_L.MR1-MP04-2</v>
      </c>
      <c r="R234" s="523" t="s">
        <v>1360</v>
      </c>
      <c r="S234" s="690" t="s">
        <v>1365</v>
      </c>
      <c r="T234" s="665">
        <v>0</v>
      </c>
      <c r="U234" s="666">
        <v>1</v>
      </c>
      <c r="V234" s="665" t="s">
        <v>67</v>
      </c>
      <c r="W234" s="527">
        <v>0.1</v>
      </c>
      <c r="X234" s="528">
        <v>0.9</v>
      </c>
      <c r="Y234" s="529">
        <v>0</v>
      </c>
      <c r="Z234" s="530">
        <v>0</v>
      </c>
      <c r="AA234" s="667"/>
      <c r="AB234" s="668"/>
      <c r="AC234" s="668"/>
      <c r="AD234" s="668"/>
      <c r="AE234" s="668"/>
      <c r="AF234" s="668"/>
      <c r="AG234" s="668"/>
      <c r="AH234" s="668"/>
      <c r="AI234" s="668"/>
      <c r="AJ234" s="668"/>
      <c r="AK234" s="668"/>
      <c r="AL234" s="668"/>
      <c r="AM234" s="668"/>
      <c r="AN234" s="668"/>
      <c r="AO234" s="668"/>
      <c r="AP234" s="668"/>
      <c r="AQ234" s="668"/>
      <c r="AR234" s="668"/>
      <c r="AS234" s="668"/>
      <c r="AT234" s="668"/>
      <c r="AU234" s="668"/>
      <c r="AV234" s="668"/>
      <c r="AW234" s="668"/>
      <c r="AX234" s="668"/>
      <c r="AY234" s="668"/>
      <c r="AZ234" s="668"/>
      <c r="BA234" s="668"/>
      <c r="BB234" s="668"/>
      <c r="BC234" s="669"/>
      <c r="BD234" s="295" t="s">
        <v>1127</v>
      </c>
      <c r="BS234" s="86" t="s">
        <v>486</v>
      </c>
      <c r="BT234" s="86" t="s">
        <v>487</v>
      </c>
      <c r="BU234" s="87" t="s">
        <v>1362</v>
      </c>
      <c r="BV234" s="84" t="s">
        <v>1360</v>
      </c>
      <c r="DH234" s="7" t="s">
        <v>1367</v>
      </c>
      <c r="DI234" s="7" t="s">
        <v>384</v>
      </c>
      <c r="DJ234" s="7" t="s">
        <v>506</v>
      </c>
      <c r="DK234" s="7" t="s">
        <v>507</v>
      </c>
      <c r="DL234" s="7" t="s">
        <v>505</v>
      </c>
      <c r="DQ234" s="7" t="s">
        <v>1362</v>
      </c>
      <c r="DR234" s="7" t="s">
        <v>1360</v>
      </c>
      <c r="EL234" s="816" t="s">
        <v>1366</v>
      </c>
      <c r="EM234" s="817" t="s">
        <v>1360</v>
      </c>
      <c r="EN234" s="267" t="s">
        <v>1365</v>
      </c>
      <c r="EO234" s="380">
        <v>0</v>
      </c>
      <c r="EP234" s="380">
        <v>1</v>
      </c>
      <c r="EQ234" s="270">
        <v>0.1</v>
      </c>
      <c r="ER234" s="270">
        <v>0.9</v>
      </c>
      <c r="ES234" s="269">
        <v>0</v>
      </c>
      <c r="ET234" s="820">
        <v>0</v>
      </c>
    </row>
    <row r="235" spans="1:150" ht="44.25" customHeight="1" x14ac:dyDescent="0.2">
      <c r="A235" s="271" t="s">
        <v>90</v>
      </c>
      <c r="B235" s="424" t="s">
        <v>91</v>
      </c>
      <c r="C235" s="425" t="s">
        <v>992</v>
      </c>
      <c r="D235" s="425"/>
      <c r="E235" s="8" t="s">
        <v>1343</v>
      </c>
      <c r="F235" s="275" t="str">
        <f t="shared" si="153"/>
        <v>E3.P_L</v>
      </c>
      <c r="G235" s="448" t="s">
        <v>379</v>
      </c>
      <c r="H235" s="448" t="s">
        <v>507</v>
      </c>
      <c r="I235" s="731"/>
      <c r="J235" s="275" t="s">
        <v>61</v>
      </c>
      <c r="K235" s="643" t="str">
        <f t="shared" si="154"/>
        <v>E3.P_L.MR1</v>
      </c>
      <c r="L235" s="404" t="s">
        <v>487</v>
      </c>
      <c r="M235" s="405" t="s">
        <v>1352</v>
      </c>
      <c r="N235" s="732" t="s">
        <v>1346</v>
      </c>
      <c r="O235" s="733" t="s">
        <v>1347</v>
      </c>
      <c r="P235" s="708" t="s">
        <v>1368</v>
      </c>
      <c r="Q235" s="708" t="str">
        <f t="shared" si="155"/>
        <v>E3.P_L.MR1-MP04-3</v>
      </c>
      <c r="R235" s="523" t="s">
        <v>1360</v>
      </c>
      <c r="S235" s="690" t="s">
        <v>1369</v>
      </c>
      <c r="T235" s="665">
        <v>0</v>
      </c>
      <c r="U235" s="666">
        <v>1</v>
      </c>
      <c r="V235" s="665" t="s">
        <v>67</v>
      </c>
      <c r="W235" s="529">
        <v>0</v>
      </c>
      <c r="X235" s="670">
        <v>1</v>
      </c>
      <c r="Y235" s="529">
        <v>0</v>
      </c>
      <c r="Z235" s="530">
        <v>0</v>
      </c>
      <c r="AA235" s="667"/>
      <c r="AB235" s="668"/>
      <c r="AC235" s="668"/>
      <c r="AD235" s="668"/>
      <c r="AE235" s="668"/>
      <c r="AF235" s="668"/>
      <c r="AG235" s="668"/>
      <c r="AH235" s="668"/>
      <c r="AI235" s="668"/>
      <c r="AJ235" s="668"/>
      <c r="AK235" s="668"/>
      <c r="AL235" s="668"/>
      <c r="AM235" s="668"/>
      <c r="AN235" s="668"/>
      <c r="AO235" s="668"/>
      <c r="AP235" s="668"/>
      <c r="AQ235" s="668"/>
      <c r="AR235" s="668"/>
      <c r="AS235" s="668"/>
      <c r="AT235" s="668"/>
      <c r="AU235" s="668"/>
      <c r="AV235" s="668"/>
      <c r="AW235" s="668"/>
      <c r="AX235" s="668"/>
      <c r="AY235" s="668"/>
      <c r="AZ235" s="668"/>
      <c r="BA235" s="668"/>
      <c r="BB235" s="668"/>
      <c r="BC235" s="669"/>
      <c r="BD235" s="295" t="s">
        <v>1127</v>
      </c>
      <c r="BS235" s="86" t="s">
        <v>486</v>
      </c>
      <c r="BT235" s="86" t="s">
        <v>487</v>
      </c>
      <c r="BU235" s="87" t="s">
        <v>1366</v>
      </c>
      <c r="BV235" s="84" t="s">
        <v>1360</v>
      </c>
      <c r="DH235" s="7" t="s">
        <v>1371</v>
      </c>
      <c r="DI235" s="7" t="s">
        <v>384</v>
      </c>
      <c r="DJ235" s="7" t="s">
        <v>506</v>
      </c>
      <c r="DK235" s="7" t="s">
        <v>507</v>
      </c>
      <c r="DL235" s="7" t="s">
        <v>505</v>
      </c>
      <c r="DQ235" s="7" t="s">
        <v>1366</v>
      </c>
      <c r="DR235" s="7" t="s">
        <v>1360</v>
      </c>
      <c r="EL235" s="816" t="s">
        <v>1370</v>
      </c>
      <c r="EM235" s="817" t="s">
        <v>1360</v>
      </c>
      <c r="EN235" s="267" t="s">
        <v>1369</v>
      </c>
      <c r="EO235" s="380">
        <v>0</v>
      </c>
      <c r="EP235" s="380">
        <v>1</v>
      </c>
      <c r="EQ235" s="269">
        <v>0</v>
      </c>
      <c r="ER235" s="269">
        <v>1</v>
      </c>
      <c r="ES235" s="269">
        <v>0</v>
      </c>
      <c r="ET235" s="820">
        <v>0</v>
      </c>
    </row>
    <row r="236" spans="1:150" ht="42" customHeight="1" x14ac:dyDescent="0.2">
      <c r="A236" s="271" t="s">
        <v>90</v>
      </c>
      <c r="B236" s="424" t="s">
        <v>91</v>
      </c>
      <c r="C236" s="425" t="s">
        <v>992</v>
      </c>
      <c r="D236" s="425"/>
      <c r="E236" s="8" t="s">
        <v>1343</v>
      </c>
      <c r="F236" s="275" t="str">
        <f t="shared" si="153"/>
        <v>E3.P_L</v>
      </c>
      <c r="G236" s="448" t="s">
        <v>379</v>
      </c>
      <c r="H236" s="448" t="s">
        <v>507</v>
      </c>
      <c r="I236" s="731"/>
      <c r="J236" s="275" t="s">
        <v>61</v>
      </c>
      <c r="K236" s="643" t="str">
        <f t="shared" si="154"/>
        <v>E3.P_L.MR1</v>
      </c>
      <c r="L236" s="404" t="s">
        <v>487</v>
      </c>
      <c r="M236" s="405" t="s">
        <v>1352</v>
      </c>
      <c r="N236" s="732" t="s">
        <v>1346</v>
      </c>
      <c r="O236" s="733" t="s">
        <v>1347</v>
      </c>
      <c r="P236" s="708" t="s">
        <v>122</v>
      </c>
      <c r="Q236" s="708" t="str">
        <f t="shared" si="155"/>
        <v>E3.P_L.MR1-MP05-1</v>
      </c>
      <c r="R236" s="523" t="s">
        <v>1372</v>
      </c>
      <c r="S236" s="690" t="s">
        <v>1373</v>
      </c>
      <c r="T236" s="665">
        <v>0</v>
      </c>
      <c r="U236" s="734">
        <v>0.3</v>
      </c>
      <c r="V236" s="735" t="s">
        <v>67</v>
      </c>
      <c r="W236" s="529">
        <v>0</v>
      </c>
      <c r="X236" s="670">
        <v>1</v>
      </c>
      <c r="Y236" s="529">
        <v>1</v>
      </c>
      <c r="Z236" s="530">
        <v>1</v>
      </c>
      <c r="AA236" s="736"/>
      <c r="AB236" s="737"/>
      <c r="AC236" s="737"/>
      <c r="AD236" s="737"/>
      <c r="AE236" s="737"/>
      <c r="AF236" s="737"/>
      <c r="AG236" s="737"/>
      <c r="AH236" s="737"/>
      <c r="AI236" s="737"/>
      <c r="AJ236" s="737"/>
      <c r="AK236" s="737"/>
      <c r="AL236" s="737"/>
      <c r="AM236" s="737"/>
      <c r="AN236" s="737"/>
      <c r="AO236" s="737"/>
      <c r="AP236" s="737"/>
      <c r="AQ236" s="737"/>
      <c r="AR236" s="737"/>
      <c r="AS236" s="737"/>
      <c r="AT236" s="737"/>
      <c r="AU236" s="737"/>
      <c r="AV236" s="737"/>
      <c r="AW236" s="737"/>
      <c r="AX236" s="737"/>
      <c r="AY236" s="737"/>
      <c r="AZ236" s="737"/>
      <c r="BA236" s="737"/>
      <c r="BB236" s="737"/>
      <c r="BC236" s="738"/>
      <c r="BD236" s="295" t="s">
        <v>1127</v>
      </c>
      <c r="BS236" s="86" t="s">
        <v>486</v>
      </c>
      <c r="BT236" s="86" t="s">
        <v>487</v>
      </c>
      <c r="BU236" s="87" t="s">
        <v>1370</v>
      </c>
      <c r="BV236" s="84" t="s">
        <v>1360</v>
      </c>
      <c r="DH236" s="7" t="s">
        <v>1375</v>
      </c>
      <c r="DI236" s="7" t="s">
        <v>384</v>
      </c>
      <c r="DJ236" s="7" t="s">
        <v>506</v>
      </c>
      <c r="DK236" s="7" t="s">
        <v>507</v>
      </c>
      <c r="DL236" s="7" t="s">
        <v>505</v>
      </c>
      <c r="DQ236" s="7" t="s">
        <v>1370</v>
      </c>
      <c r="DR236" s="7" t="s">
        <v>1360</v>
      </c>
      <c r="EL236" s="816" t="s">
        <v>1374</v>
      </c>
      <c r="EM236" s="817" t="s">
        <v>1372</v>
      </c>
      <c r="EN236" s="267" t="s">
        <v>1373</v>
      </c>
      <c r="EO236" s="380">
        <v>0</v>
      </c>
      <c r="EP236" s="805">
        <v>0.3</v>
      </c>
      <c r="EQ236" s="806">
        <v>0.05</v>
      </c>
      <c r="ER236" s="806">
        <v>0.05</v>
      </c>
      <c r="ES236" s="802">
        <v>0.1</v>
      </c>
      <c r="ET236" s="825">
        <v>0.1</v>
      </c>
    </row>
    <row r="237" spans="1:150" ht="41.25" customHeight="1" x14ac:dyDescent="0.2">
      <c r="A237" s="271" t="s">
        <v>90</v>
      </c>
      <c r="B237" s="424" t="s">
        <v>91</v>
      </c>
      <c r="C237" s="425" t="s">
        <v>992</v>
      </c>
      <c r="D237" s="425"/>
      <c r="E237" s="8" t="s">
        <v>1343</v>
      </c>
      <c r="F237" s="275" t="str">
        <f t="shared" si="153"/>
        <v>E3.P_L</v>
      </c>
      <c r="G237" s="448" t="s">
        <v>379</v>
      </c>
      <c r="H237" s="448" t="s">
        <v>507</v>
      </c>
      <c r="I237" s="731"/>
      <c r="J237" s="275" t="s">
        <v>61</v>
      </c>
      <c r="K237" s="643" t="str">
        <f t="shared" si="154"/>
        <v>E3.P_L.MR1</v>
      </c>
      <c r="L237" s="404" t="s">
        <v>487</v>
      </c>
      <c r="M237" s="405" t="s">
        <v>1352</v>
      </c>
      <c r="N237" s="732" t="s">
        <v>1346</v>
      </c>
      <c r="O237" s="733" t="s">
        <v>1347</v>
      </c>
      <c r="P237" s="708" t="s">
        <v>132</v>
      </c>
      <c r="Q237" s="708" t="str">
        <f t="shared" si="155"/>
        <v>E3.P_L.MR1-MP06-1</v>
      </c>
      <c r="R237" s="523" t="s">
        <v>1376</v>
      </c>
      <c r="S237" s="690" t="s">
        <v>1377</v>
      </c>
      <c r="T237" s="665">
        <v>0</v>
      </c>
      <c r="U237" s="666">
        <v>1</v>
      </c>
      <c r="V237" s="665" t="s">
        <v>67</v>
      </c>
      <c r="W237" s="527">
        <v>0.3</v>
      </c>
      <c r="X237" s="528">
        <v>0.7</v>
      </c>
      <c r="Y237" s="529">
        <v>0</v>
      </c>
      <c r="Z237" s="530">
        <v>0</v>
      </c>
      <c r="AA237" s="667"/>
      <c r="AB237" s="668"/>
      <c r="AC237" s="668"/>
      <c r="AD237" s="668"/>
      <c r="AE237" s="668"/>
      <c r="AF237" s="668"/>
      <c r="AG237" s="668"/>
      <c r="AH237" s="668"/>
      <c r="AI237" s="668"/>
      <c r="AJ237" s="668"/>
      <c r="AK237" s="668"/>
      <c r="AL237" s="668"/>
      <c r="AM237" s="668"/>
      <c r="AN237" s="668"/>
      <c r="AO237" s="668"/>
      <c r="AP237" s="668"/>
      <c r="AQ237" s="668"/>
      <c r="AR237" s="668"/>
      <c r="AS237" s="668"/>
      <c r="AT237" s="668"/>
      <c r="AU237" s="668"/>
      <c r="AV237" s="668"/>
      <c r="AW237" s="668"/>
      <c r="AX237" s="668"/>
      <c r="AY237" s="668"/>
      <c r="AZ237" s="668"/>
      <c r="BA237" s="668"/>
      <c r="BB237" s="668"/>
      <c r="BC237" s="669"/>
      <c r="BD237" s="295" t="s">
        <v>1127</v>
      </c>
      <c r="BS237" s="86" t="s">
        <v>486</v>
      </c>
      <c r="BT237" s="86" t="s">
        <v>487</v>
      </c>
      <c r="BU237" s="87" t="s">
        <v>1374</v>
      </c>
      <c r="BV237" s="84" t="s">
        <v>1372</v>
      </c>
      <c r="DH237" s="7" t="s">
        <v>1379</v>
      </c>
      <c r="DI237" s="7" t="s">
        <v>384</v>
      </c>
      <c r="DJ237" s="7" t="s">
        <v>506</v>
      </c>
      <c r="DK237" s="7" t="s">
        <v>507</v>
      </c>
      <c r="DL237" s="7" t="s">
        <v>505</v>
      </c>
      <c r="DQ237" s="7" t="s">
        <v>1374</v>
      </c>
      <c r="DR237" s="7" t="s">
        <v>1372</v>
      </c>
      <c r="EL237" s="816" t="s">
        <v>1378</v>
      </c>
      <c r="EM237" s="817" t="s">
        <v>1376</v>
      </c>
      <c r="EN237" s="267" t="s">
        <v>1377</v>
      </c>
      <c r="EO237" s="380">
        <v>0</v>
      </c>
      <c r="EP237" s="380">
        <v>1</v>
      </c>
      <c r="EQ237" s="270">
        <v>0.3</v>
      </c>
      <c r="ER237" s="809">
        <v>0</v>
      </c>
      <c r="ES237" s="809">
        <v>0.3</v>
      </c>
      <c r="ET237" s="818">
        <v>0.4</v>
      </c>
    </row>
    <row r="238" spans="1:150" ht="39" customHeight="1" x14ac:dyDescent="0.2">
      <c r="A238" s="271" t="s">
        <v>90</v>
      </c>
      <c r="B238" s="424" t="s">
        <v>91</v>
      </c>
      <c r="C238" s="425" t="s">
        <v>992</v>
      </c>
      <c r="D238" s="425"/>
      <c r="E238" s="8" t="s">
        <v>1343</v>
      </c>
      <c r="F238" s="275" t="str">
        <f t="shared" si="153"/>
        <v>E3.P_L</v>
      </c>
      <c r="G238" s="448" t="s">
        <v>379</v>
      </c>
      <c r="H238" s="448" t="s">
        <v>507</v>
      </c>
      <c r="I238" s="731"/>
      <c r="J238" s="275" t="s">
        <v>61</v>
      </c>
      <c r="K238" s="643" t="str">
        <f t="shared" si="154"/>
        <v>E3.P_L.MR1</v>
      </c>
      <c r="L238" s="404" t="s">
        <v>487</v>
      </c>
      <c r="M238" s="405" t="s">
        <v>1352</v>
      </c>
      <c r="N238" s="732" t="s">
        <v>1346</v>
      </c>
      <c r="O238" s="733" t="s">
        <v>1347</v>
      </c>
      <c r="P238" s="708" t="s">
        <v>1380</v>
      </c>
      <c r="Q238" s="708" t="str">
        <f t="shared" si="155"/>
        <v>E3.P_L.MR1-MP06-2</v>
      </c>
      <c r="R238" s="523" t="s">
        <v>1376</v>
      </c>
      <c r="S238" s="690" t="s">
        <v>1381</v>
      </c>
      <c r="T238" s="665">
        <v>0</v>
      </c>
      <c r="U238" s="666">
        <v>1</v>
      </c>
      <c r="V238" s="665" t="s">
        <v>67</v>
      </c>
      <c r="W238" s="529">
        <v>0</v>
      </c>
      <c r="X238" s="670">
        <v>1</v>
      </c>
      <c r="Y238" s="529">
        <v>0</v>
      </c>
      <c r="Z238" s="530">
        <v>0</v>
      </c>
      <c r="AA238" s="667"/>
      <c r="AB238" s="668"/>
      <c r="AC238" s="668"/>
      <c r="AD238" s="668"/>
      <c r="AE238" s="668"/>
      <c r="AF238" s="668"/>
      <c r="AG238" s="668"/>
      <c r="AH238" s="668"/>
      <c r="AI238" s="668"/>
      <c r="AJ238" s="668"/>
      <c r="AK238" s="668"/>
      <c r="AL238" s="668"/>
      <c r="AM238" s="668"/>
      <c r="AN238" s="668"/>
      <c r="AO238" s="668"/>
      <c r="AP238" s="668"/>
      <c r="AQ238" s="668"/>
      <c r="AR238" s="668"/>
      <c r="AS238" s="668"/>
      <c r="AT238" s="668"/>
      <c r="AU238" s="668"/>
      <c r="AV238" s="668"/>
      <c r="AW238" s="668"/>
      <c r="AX238" s="668"/>
      <c r="AY238" s="668"/>
      <c r="AZ238" s="668"/>
      <c r="BA238" s="668"/>
      <c r="BB238" s="668"/>
      <c r="BC238" s="669"/>
      <c r="BD238" s="295" t="s">
        <v>1127</v>
      </c>
      <c r="BS238" s="86" t="s">
        <v>486</v>
      </c>
      <c r="BT238" s="86" t="s">
        <v>487</v>
      </c>
      <c r="BU238" s="87" t="s">
        <v>1378</v>
      </c>
      <c r="BV238" s="84" t="s">
        <v>1376</v>
      </c>
      <c r="DH238" s="7" t="s">
        <v>1383</v>
      </c>
      <c r="DI238" s="7" t="s">
        <v>384</v>
      </c>
      <c r="DJ238" s="7" t="s">
        <v>506</v>
      </c>
      <c r="DK238" s="7" t="s">
        <v>507</v>
      </c>
      <c r="DL238" s="7" t="s">
        <v>505</v>
      </c>
      <c r="DQ238" s="7" t="s">
        <v>1378</v>
      </c>
      <c r="DR238" s="7" t="s">
        <v>1376</v>
      </c>
      <c r="EL238" s="816" t="s">
        <v>1382</v>
      </c>
      <c r="EM238" s="817" t="s">
        <v>1376</v>
      </c>
      <c r="EN238" s="267" t="s">
        <v>1381</v>
      </c>
      <c r="EO238" s="380">
        <v>0</v>
      </c>
      <c r="EP238" s="380">
        <v>1</v>
      </c>
      <c r="EQ238" s="269">
        <v>0</v>
      </c>
      <c r="ER238" s="808">
        <v>0</v>
      </c>
      <c r="ES238" s="269">
        <v>0</v>
      </c>
      <c r="ET238" s="824">
        <v>1</v>
      </c>
    </row>
    <row r="239" spans="1:150" ht="37.5" customHeight="1" thickBot="1" x14ac:dyDescent="0.25">
      <c r="A239" s="271" t="s">
        <v>90</v>
      </c>
      <c r="B239" s="424" t="s">
        <v>91</v>
      </c>
      <c r="C239" s="425" t="s">
        <v>992</v>
      </c>
      <c r="D239" s="425"/>
      <c r="E239" s="8" t="s">
        <v>1343</v>
      </c>
      <c r="F239" s="275" t="str">
        <f t="shared" si="153"/>
        <v>E3.P_L</v>
      </c>
      <c r="G239" s="448" t="s">
        <v>379</v>
      </c>
      <c r="H239" s="448" t="s">
        <v>507</v>
      </c>
      <c r="I239" s="739"/>
      <c r="J239" s="594" t="s">
        <v>61</v>
      </c>
      <c r="K239" s="740" t="str">
        <f t="shared" si="154"/>
        <v>E3.P_L.MR1</v>
      </c>
      <c r="L239" s="420" t="s">
        <v>487</v>
      </c>
      <c r="M239" s="421" t="s">
        <v>1352</v>
      </c>
      <c r="N239" s="741" t="s">
        <v>1346</v>
      </c>
      <c r="O239" s="742" t="s">
        <v>1347</v>
      </c>
      <c r="P239" s="710" t="s">
        <v>142</v>
      </c>
      <c r="Q239" s="710" t="str">
        <f t="shared" si="155"/>
        <v>E3.P_L.MR1-MP07-1</v>
      </c>
      <c r="R239" s="624" t="s">
        <v>1384</v>
      </c>
      <c r="S239" s="547" t="s">
        <v>1385</v>
      </c>
      <c r="T239" s="743">
        <v>1</v>
      </c>
      <c r="U239" s="673">
        <v>4</v>
      </c>
      <c r="V239" s="672" t="s">
        <v>67</v>
      </c>
      <c r="W239" s="550">
        <v>1</v>
      </c>
      <c r="X239" s="551">
        <v>1</v>
      </c>
      <c r="Y239" s="550">
        <v>1</v>
      </c>
      <c r="Z239" s="552">
        <v>1</v>
      </c>
      <c r="AA239" s="667"/>
      <c r="AB239" s="668"/>
      <c r="AC239" s="668"/>
      <c r="AD239" s="668"/>
      <c r="AE239" s="668"/>
      <c r="AF239" s="668"/>
      <c r="AG239" s="668"/>
      <c r="AH239" s="668"/>
      <c r="AI239" s="668"/>
      <c r="AJ239" s="668"/>
      <c r="AK239" s="668"/>
      <c r="AL239" s="668"/>
      <c r="AM239" s="668"/>
      <c r="AN239" s="668"/>
      <c r="AO239" s="668"/>
      <c r="AP239" s="668"/>
      <c r="AQ239" s="668"/>
      <c r="AR239" s="668"/>
      <c r="AS239" s="668"/>
      <c r="AT239" s="668"/>
      <c r="AU239" s="668"/>
      <c r="AV239" s="668"/>
      <c r="AW239" s="668"/>
      <c r="AX239" s="668"/>
      <c r="AY239" s="668"/>
      <c r="AZ239" s="668"/>
      <c r="BA239" s="668"/>
      <c r="BB239" s="668"/>
      <c r="BC239" s="669"/>
      <c r="BD239" s="295" t="s">
        <v>1127</v>
      </c>
      <c r="BS239" s="86" t="s">
        <v>486</v>
      </c>
      <c r="BT239" s="86" t="s">
        <v>487</v>
      </c>
      <c r="BU239" s="87" t="s">
        <v>1382</v>
      </c>
      <c r="BV239" s="84" t="s">
        <v>1376</v>
      </c>
      <c r="DH239" s="7" t="s">
        <v>1387</v>
      </c>
      <c r="DI239" s="7" t="s">
        <v>384</v>
      </c>
      <c r="DJ239" s="7" t="s">
        <v>506</v>
      </c>
      <c r="DK239" s="7" t="s">
        <v>507</v>
      </c>
      <c r="DL239" s="7" t="s">
        <v>505</v>
      </c>
      <c r="DQ239" s="7" t="s">
        <v>1382</v>
      </c>
      <c r="DR239" s="7" t="s">
        <v>1376</v>
      </c>
      <c r="EL239" s="816" t="s">
        <v>1386</v>
      </c>
      <c r="EM239" s="312" t="s">
        <v>1384</v>
      </c>
      <c r="EN239" s="268" t="s">
        <v>1385</v>
      </c>
      <c r="EO239" s="380">
        <v>1</v>
      </c>
      <c r="EP239" s="831">
        <v>4</v>
      </c>
      <c r="EQ239" s="269">
        <v>1</v>
      </c>
      <c r="ER239" s="269">
        <v>1</v>
      </c>
      <c r="ES239" s="269">
        <v>1</v>
      </c>
      <c r="ET239" s="820">
        <v>1</v>
      </c>
    </row>
    <row r="240" spans="1:150" ht="114.75" customHeight="1" x14ac:dyDescent="0.2">
      <c r="A240" s="271" t="s">
        <v>90</v>
      </c>
      <c r="B240" s="424" t="s">
        <v>91</v>
      </c>
      <c r="C240" s="425" t="s">
        <v>992</v>
      </c>
      <c r="D240" s="425"/>
      <c r="E240" s="8" t="s">
        <v>1343</v>
      </c>
      <c r="F240" s="275" t="str">
        <f t="shared" si="153"/>
        <v>E3.P_L</v>
      </c>
      <c r="G240" s="448" t="s">
        <v>379</v>
      </c>
      <c r="H240" s="448" t="s">
        <v>507</v>
      </c>
      <c r="I240" s="449" t="s">
        <v>1388</v>
      </c>
      <c r="J240" s="450" t="s">
        <v>167</v>
      </c>
      <c r="K240" s="451" t="str">
        <f t="shared" si="154"/>
        <v>E3.P_L.MR2</v>
      </c>
      <c r="L240" s="355" t="s">
        <v>495</v>
      </c>
      <c r="M240" s="356" t="s">
        <v>1352</v>
      </c>
      <c r="N240" s="241" t="s">
        <v>1389</v>
      </c>
      <c r="O240" s="241" t="s">
        <v>1390</v>
      </c>
      <c r="P240" s="360" t="s">
        <v>64</v>
      </c>
      <c r="Q240" s="360" t="str">
        <f t="shared" si="155"/>
        <v>E3.P_L.MR2-MP01-1</v>
      </c>
      <c r="R240" s="412" t="s">
        <v>1391</v>
      </c>
      <c r="S240" s="362" t="s">
        <v>1392</v>
      </c>
      <c r="T240" s="363">
        <v>0</v>
      </c>
      <c r="U240" s="613">
        <v>5</v>
      </c>
      <c r="V240" s="612" t="s">
        <v>67</v>
      </c>
      <c r="W240" s="480">
        <v>0</v>
      </c>
      <c r="X240" s="481">
        <v>4</v>
      </c>
      <c r="Y240" s="480">
        <v>1</v>
      </c>
      <c r="Z240" s="482">
        <v>0</v>
      </c>
      <c r="AA240" s="292"/>
      <c r="AB240" s="293"/>
      <c r="AC240" s="293"/>
      <c r="AD240" s="293"/>
      <c r="AE240" s="293"/>
      <c r="AF240" s="293"/>
      <c r="AG240" s="293"/>
      <c r="AH240" s="293"/>
      <c r="AI240" s="293"/>
      <c r="AJ240" s="293"/>
      <c r="AK240" s="293"/>
      <c r="AL240" s="293"/>
      <c r="AM240" s="293"/>
      <c r="AN240" s="293"/>
      <c r="AO240" s="293"/>
      <c r="AP240" s="293"/>
      <c r="AQ240" s="293"/>
      <c r="AR240" s="293"/>
      <c r="AS240" s="293"/>
      <c r="AT240" s="293"/>
      <c r="AU240" s="293"/>
      <c r="AV240" s="293"/>
      <c r="AW240" s="293"/>
      <c r="AX240" s="293"/>
      <c r="AY240" s="293"/>
      <c r="AZ240" s="293"/>
      <c r="BA240" s="293"/>
      <c r="BB240" s="293"/>
      <c r="BC240" s="294"/>
      <c r="BD240" s="295" t="s">
        <v>1127</v>
      </c>
      <c r="BS240" s="86" t="s">
        <v>486</v>
      </c>
      <c r="BT240" s="86" t="s">
        <v>487</v>
      </c>
      <c r="BU240" s="87" t="s">
        <v>1386</v>
      </c>
      <c r="BV240" s="84" t="s">
        <v>1384</v>
      </c>
      <c r="DH240" s="7" t="s">
        <v>1394</v>
      </c>
      <c r="DI240" s="7" t="s">
        <v>384</v>
      </c>
      <c r="DJ240" s="7" t="s">
        <v>506</v>
      </c>
      <c r="DK240" s="7" t="s">
        <v>507</v>
      </c>
      <c r="DL240" s="7" t="s">
        <v>505</v>
      </c>
      <c r="DQ240" s="7" t="s">
        <v>1386</v>
      </c>
      <c r="DR240" s="7" t="s">
        <v>1384</v>
      </c>
      <c r="EL240" s="822" t="s">
        <v>1393</v>
      </c>
      <c r="EM240" s="312" t="s">
        <v>1391</v>
      </c>
      <c r="EN240" s="268" t="s">
        <v>1392</v>
      </c>
      <c r="EO240" s="268">
        <v>0</v>
      </c>
      <c r="EP240" s="268">
        <v>5</v>
      </c>
      <c r="EQ240" s="269">
        <v>1</v>
      </c>
      <c r="ER240" s="808">
        <v>3</v>
      </c>
      <c r="ES240" s="809">
        <v>0.9</v>
      </c>
      <c r="ET240" s="818">
        <v>0.1</v>
      </c>
    </row>
    <row r="241" spans="1:152" ht="51" customHeight="1" x14ac:dyDescent="0.2">
      <c r="A241" s="271" t="s">
        <v>90</v>
      </c>
      <c r="B241" s="424" t="s">
        <v>91</v>
      </c>
      <c r="C241" s="425" t="s">
        <v>992</v>
      </c>
      <c r="D241" s="425"/>
      <c r="E241" s="8" t="s">
        <v>1343</v>
      </c>
      <c r="F241" s="275" t="str">
        <f t="shared" si="153"/>
        <v>E3.P_L</v>
      </c>
      <c r="G241" s="448" t="s">
        <v>379</v>
      </c>
      <c r="H241" s="448" t="s">
        <v>507</v>
      </c>
      <c r="I241" s="452"/>
      <c r="J241" s="453" t="s">
        <v>167</v>
      </c>
      <c r="K241" s="368" t="str">
        <f t="shared" si="154"/>
        <v>E3.P_L.MR2</v>
      </c>
      <c r="L241" s="404" t="s">
        <v>495</v>
      </c>
      <c r="M241" s="405" t="s">
        <v>1352</v>
      </c>
      <c r="N241" s="282" t="s">
        <v>1389</v>
      </c>
      <c r="O241" s="282" t="s">
        <v>1390</v>
      </c>
      <c r="P241" s="372" t="s">
        <v>87</v>
      </c>
      <c r="Q241" s="372" t="str">
        <f t="shared" si="155"/>
        <v>E3.P_L.MR2-MP02-1</v>
      </c>
      <c r="R241" s="713" t="s">
        <v>1395</v>
      </c>
      <c r="S241" s="286" t="s">
        <v>1396</v>
      </c>
      <c r="T241" s="287">
        <v>0</v>
      </c>
      <c r="U241" s="288">
        <v>1</v>
      </c>
      <c r="V241" s="287" t="s">
        <v>67</v>
      </c>
      <c r="W241" s="289">
        <v>0</v>
      </c>
      <c r="X241" s="290">
        <v>0</v>
      </c>
      <c r="Y241" s="289">
        <v>1</v>
      </c>
      <c r="Z241" s="291">
        <v>0</v>
      </c>
      <c r="AA241" s="292"/>
      <c r="AB241" s="293"/>
      <c r="AC241" s="293"/>
      <c r="AD241" s="293"/>
      <c r="AE241" s="293"/>
      <c r="AF241" s="293"/>
      <c r="AG241" s="293"/>
      <c r="AH241" s="293"/>
      <c r="AI241" s="293"/>
      <c r="AJ241" s="293"/>
      <c r="AK241" s="293"/>
      <c r="AL241" s="293"/>
      <c r="AM241" s="293"/>
      <c r="AN241" s="293"/>
      <c r="AO241" s="293"/>
      <c r="AP241" s="293"/>
      <c r="AQ241" s="293"/>
      <c r="AR241" s="293"/>
      <c r="AS241" s="293"/>
      <c r="AT241" s="293"/>
      <c r="AU241" s="293"/>
      <c r="AV241" s="293"/>
      <c r="AW241" s="293"/>
      <c r="AX241" s="293"/>
      <c r="AY241" s="293"/>
      <c r="AZ241" s="293"/>
      <c r="BA241" s="293"/>
      <c r="BB241" s="293"/>
      <c r="BC241" s="294"/>
      <c r="BD241" s="295" t="s">
        <v>1127</v>
      </c>
      <c r="BS241" s="84" t="s">
        <v>494</v>
      </c>
      <c r="BT241" s="84" t="s">
        <v>495</v>
      </c>
      <c r="BU241" s="87" t="s">
        <v>1393</v>
      </c>
      <c r="BV241" s="84" t="s">
        <v>1391</v>
      </c>
      <c r="DH241" s="7" t="s">
        <v>1398</v>
      </c>
      <c r="DI241" s="7" t="s">
        <v>384</v>
      </c>
      <c r="DJ241" s="7" t="s">
        <v>506</v>
      </c>
      <c r="DK241" s="7" t="s">
        <v>507</v>
      </c>
      <c r="DL241" s="7" t="s">
        <v>513</v>
      </c>
      <c r="DQ241" s="7" t="s">
        <v>1393</v>
      </c>
      <c r="DR241" s="7" t="s">
        <v>1391</v>
      </c>
      <c r="EL241" s="822" t="s">
        <v>1397</v>
      </c>
      <c r="EM241" s="817" t="s">
        <v>1395</v>
      </c>
      <c r="EN241" s="267" t="s">
        <v>1396</v>
      </c>
      <c r="EO241" s="268">
        <v>0</v>
      </c>
      <c r="EP241" s="268">
        <v>1</v>
      </c>
      <c r="EQ241" s="269">
        <v>0</v>
      </c>
      <c r="ER241" s="809">
        <v>0.5</v>
      </c>
      <c r="ES241" s="809">
        <v>0.5</v>
      </c>
      <c r="ET241" s="820">
        <v>0</v>
      </c>
    </row>
    <row r="242" spans="1:152" ht="51" customHeight="1" x14ac:dyDescent="0.2">
      <c r="A242" s="271" t="s">
        <v>90</v>
      </c>
      <c r="B242" s="424" t="s">
        <v>91</v>
      </c>
      <c r="C242" s="425" t="s">
        <v>992</v>
      </c>
      <c r="D242" s="425"/>
      <c r="E242" s="8" t="s">
        <v>1343</v>
      </c>
      <c r="F242" s="275" t="str">
        <f t="shared" si="153"/>
        <v>E3.P_L</v>
      </c>
      <c r="G242" s="448" t="s">
        <v>379</v>
      </c>
      <c r="H242" s="448" t="s">
        <v>507</v>
      </c>
      <c r="I242" s="452"/>
      <c r="J242" s="453" t="s">
        <v>167</v>
      </c>
      <c r="K242" s="368" t="str">
        <f t="shared" si="154"/>
        <v>E3.P_L.MR2</v>
      </c>
      <c r="L242" s="404" t="s">
        <v>495</v>
      </c>
      <c r="M242" s="405" t="s">
        <v>1352</v>
      </c>
      <c r="N242" s="282" t="s">
        <v>1389</v>
      </c>
      <c r="O242" s="282" t="s">
        <v>1390</v>
      </c>
      <c r="P242" s="372" t="s">
        <v>1271</v>
      </c>
      <c r="Q242" s="372" t="str">
        <f t="shared" si="155"/>
        <v>E3.P_L.MR2-MP02-2</v>
      </c>
      <c r="R242" s="713" t="s">
        <v>1395</v>
      </c>
      <c r="S242" s="286" t="s">
        <v>1399</v>
      </c>
      <c r="T242" s="287">
        <v>5</v>
      </c>
      <c r="U242" s="288">
        <v>1</v>
      </c>
      <c r="V242" s="287" t="s">
        <v>67</v>
      </c>
      <c r="W242" s="289">
        <v>0</v>
      </c>
      <c r="X242" s="324">
        <v>0.7</v>
      </c>
      <c r="Y242" s="309">
        <v>0.3</v>
      </c>
      <c r="Z242" s="291">
        <v>0</v>
      </c>
      <c r="AA242" s="292"/>
      <c r="AB242" s="293"/>
      <c r="AC242" s="293"/>
      <c r="AD242" s="293"/>
      <c r="AE242" s="293"/>
      <c r="AF242" s="293"/>
      <c r="AG242" s="293"/>
      <c r="AH242" s="293"/>
      <c r="AI242" s="293"/>
      <c r="AJ242" s="293"/>
      <c r="AK242" s="293"/>
      <c r="AL242" s="293"/>
      <c r="AM242" s="293"/>
      <c r="AN242" s="293"/>
      <c r="AO242" s="293"/>
      <c r="AP242" s="293"/>
      <c r="AQ242" s="293"/>
      <c r="AR242" s="293"/>
      <c r="AS242" s="293"/>
      <c r="AT242" s="293"/>
      <c r="AU242" s="293"/>
      <c r="AV242" s="293"/>
      <c r="AW242" s="293"/>
      <c r="AX242" s="293"/>
      <c r="AY242" s="293"/>
      <c r="AZ242" s="293"/>
      <c r="BA242" s="293"/>
      <c r="BB242" s="293"/>
      <c r="BC242" s="294"/>
      <c r="BD242" s="295" t="s">
        <v>1127</v>
      </c>
      <c r="BS242" s="86" t="s">
        <v>494</v>
      </c>
      <c r="BT242" s="86" t="s">
        <v>495</v>
      </c>
      <c r="BU242" s="87" t="s">
        <v>1397</v>
      </c>
      <c r="BV242" s="84" t="s">
        <v>1395</v>
      </c>
      <c r="DH242" s="7" t="s">
        <v>1401</v>
      </c>
      <c r="DI242" s="7" t="s">
        <v>384</v>
      </c>
      <c r="DJ242" s="7" t="s">
        <v>506</v>
      </c>
      <c r="DK242" s="7" t="s">
        <v>507</v>
      </c>
      <c r="DL242" s="7" t="s">
        <v>513</v>
      </c>
      <c r="DQ242" s="7" t="s">
        <v>1397</v>
      </c>
      <c r="DR242" s="7" t="s">
        <v>1395</v>
      </c>
      <c r="EL242" s="822" t="s">
        <v>1400</v>
      </c>
      <c r="EM242" s="817" t="s">
        <v>1395</v>
      </c>
      <c r="EN242" s="804" t="s">
        <v>1399</v>
      </c>
      <c r="EO242" s="804">
        <v>5</v>
      </c>
      <c r="EP242" s="804">
        <v>1</v>
      </c>
      <c r="EQ242" s="803">
        <v>0</v>
      </c>
      <c r="ER242" s="809">
        <v>0.2</v>
      </c>
      <c r="ES242" s="809">
        <v>0.8</v>
      </c>
      <c r="ET242" s="830">
        <v>0</v>
      </c>
    </row>
    <row r="243" spans="1:152" ht="42.75" customHeight="1" x14ac:dyDescent="0.2">
      <c r="A243" s="271" t="s">
        <v>90</v>
      </c>
      <c r="B243" s="424" t="s">
        <v>91</v>
      </c>
      <c r="C243" s="425" t="s">
        <v>992</v>
      </c>
      <c r="D243" s="425"/>
      <c r="E243" s="8" t="s">
        <v>1343</v>
      </c>
      <c r="F243" s="275" t="str">
        <f t="shared" si="153"/>
        <v>E3.P_L</v>
      </c>
      <c r="G243" s="448" t="s">
        <v>379</v>
      </c>
      <c r="H243" s="448" t="s">
        <v>507</v>
      </c>
      <c r="I243" s="452"/>
      <c r="J243" s="453" t="s">
        <v>167</v>
      </c>
      <c r="K243" s="368" t="str">
        <f t="shared" si="154"/>
        <v>E3.P_L.MR2</v>
      </c>
      <c r="L243" s="404" t="s">
        <v>495</v>
      </c>
      <c r="M243" s="405" t="s">
        <v>1352</v>
      </c>
      <c r="N243" s="282" t="s">
        <v>1389</v>
      </c>
      <c r="O243" s="282" t="s">
        <v>1390</v>
      </c>
      <c r="P243" s="372" t="s">
        <v>99</v>
      </c>
      <c r="Q243" s="372" t="str">
        <f t="shared" si="155"/>
        <v>E3.P_L.MR2-MP03-1</v>
      </c>
      <c r="R243" s="416" t="s">
        <v>1402</v>
      </c>
      <c r="S243" s="308" t="s">
        <v>1403</v>
      </c>
      <c r="T243" s="681">
        <v>0.01</v>
      </c>
      <c r="U243" s="744">
        <v>0.5</v>
      </c>
      <c r="V243" s="646" t="s">
        <v>67</v>
      </c>
      <c r="W243" s="289">
        <v>0</v>
      </c>
      <c r="X243" s="324">
        <v>0.2</v>
      </c>
      <c r="Y243" s="309">
        <v>0.2</v>
      </c>
      <c r="Z243" s="310">
        <v>0.1</v>
      </c>
      <c r="AA243" s="745"/>
      <c r="AB243" s="746"/>
      <c r="AC243" s="746"/>
      <c r="AD243" s="746"/>
      <c r="AE243" s="746"/>
      <c r="AF243" s="746"/>
      <c r="AG243" s="746"/>
      <c r="AH243" s="746"/>
      <c r="AI243" s="746"/>
      <c r="AJ243" s="746"/>
      <c r="AK243" s="746"/>
      <c r="AL243" s="746"/>
      <c r="AM243" s="746"/>
      <c r="AN243" s="746"/>
      <c r="AO243" s="746"/>
      <c r="AP243" s="746"/>
      <c r="AQ243" s="746"/>
      <c r="AR243" s="746"/>
      <c r="AS243" s="746"/>
      <c r="AT243" s="746"/>
      <c r="AU243" s="746"/>
      <c r="AV243" s="746"/>
      <c r="AW243" s="746"/>
      <c r="AX243" s="746"/>
      <c r="AY243" s="746"/>
      <c r="AZ243" s="746"/>
      <c r="BA243" s="746"/>
      <c r="BB243" s="746"/>
      <c r="BC243" s="747"/>
      <c r="BD243" s="295" t="s">
        <v>1127</v>
      </c>
      <c r="BS243" s="86" t="s">
        <v>494</v>
      </c>
      <c r="BT243" s="86" t="s">
        <v>495</v>
      </c>
      <c r="BU243" s="87" t="s">
        <v>1400</v>
      </c>
      <c r="BV243" s="84" t="s">
        <v>1395</v>
      </c>
      <c r="DH243" s="7" t="s">
        <v>1405</v>
      </c>
      <c r="DI243" s="7" t="s">
        <v>384</v>
      </c>
      <c r="DJ243" s="7" t="s">
        <v>506</v>
      </c>
      <c r="DK243" s="7" t="s">
        <v>507</v>
      </c>
      <c r="DL243" s="7" t="s">
        <v>513</v>
      </c>
      <c r="DQ243" s="7" t="s">
        <v>1400</v>
      </c>
      <c r="DR243" s="7" t="s">
        <v>1395</v>
      </c>
      <c r="EL243" s="822" t="s">
        <v>1404</v>
      </c>
      <c r="EM243" s="312" t="s">
        <v>1402</v>
      </c>
      <c r="EN243" s="268" t="s">
        <v>1403</v>
      </c>
      <c r="EO243" s="682">
        <v>0.01</v>
      </c>
      <c r="EP243" s="647">
        <v>0.5</v>
      </c>
      <c r="EQ243" s="269">
        <v>0</v>
      </c>
      <c r="ER243" s="270">
        <v>0.2</v>
      </c>
      <c r="ES243" s="270">
        <v>0.2</v>
      </c>
      <c r="ET243" s="823">
        <v>0.1</v>
      </c>
      <c r="EV243" s="748"/>
    </row>
    <row r="244" spans="1:152" ht="40.5" customHeight="1" x14ac:dyDescent="0.2">
      <c r="A244" s="271" t="s">
        <v>90</v>
      </c>
      <c r="B244" s="424" t="s">
        <v>91</v>
      </c>
      <c r="C244" s="425" t="s">
        <v>992</v>
      </c>
      <c r="D244" s="425"/>
      <c r="E244" s="8" t="s">
        <v>1343</v>
      </c>
      <c r="F244" s="275" t="str">
        <f t="shared" si="153"/>
        <v>E3.P_L</v>
      </c>
      <c r="G244" s="448" t="s">
        <v>379</v>
      </c>
      <c r="H244" s="448" t="s">
        <v>507</v>
      </c>
      <c r="I244" s="452"/>
      <c r="J244" s="453" t="s">
        <v>167</v>
      </c>
      <c r="K244" s="368" t="str">
        <f t="shared" si="154"/>
        <v>E3.P_L.MR2</v>
      </c>
      <c r="L244" s="404" t="s">
        <v>495</v>
      </c>
      <c r="M244" s="405" t="s">
        <v>1352</v>
      </c>
      <c r="N244" s="282" t="s">
        <v>1389</v>
      </c>
      <c r="O244" s="282" t="s">
        <v>1390</v>
      </c>
      <c r="P244" s="372" t="s">
        <v>112</v>
      </c>
      <c r="Q244" s="372" t="str">
        <f t="shared" si="155"/>
        <v>E3.P_L.MR2-MP04-1</v>
      </c>
      <c r="R244" s="713" t="s">
        <v>1406</v>
      </c>
      <c r="S244" s="286" t="s">
        <v>1377</v>
      </c>
      <c r="T244" s="375">
        <v>0</v>
      </c>
      <c r="U244" s="376">
        <v>1</v>
      </c>
      <c r="V244" s="375" t="s">
        <v>67</v>
      </c>
      <c r="W244" s="289">
        <v>0</v>
      </c>
      <c r="X244" s="290">
        <v>1</v>
      </c>
      <c r="Y244" s="289">
        <v>0</v>
      </c>
      <c r="Z244" s="291">
        <v>0</v>
      </c>
      <c r="AA244" s="377"/>
      <c r="AB244" s="378"/>
      <c r="AC244" s="378"/>
      <c r="AD244" s="378"/>
      <c r="AE244" s="378"/>
      <c r="AF244" s="378"/>
      <c r="AG244" s="378"/>
      <c r="AH244" s="378"/>
      <c r="AI244" s="378"/>
      <c r="AJ244" s="378"/>
      <c r="AK244" s="378"/>
      <c r="AL244" s="378"/>
      <c r="AM244" s="378"/>
      <c r="AN244" s="378"/>
      <c r="AO244" s="378"/>
      <c r="AP244" s="378"/>
      <c r="AQ244" s="378"/>
      <c r="AR244" s="378"/>
      <c r="AS244" s="378"/>
      <c r="AT244" s="378"/>
      <c r="AU244" s="378"/>
      <c r="AV244" s="378"/>
      <c r="AW244" s="378"/>
      <c r="AX244" s="378"/>
      <c r="AY244" s="378"/>
      <c r="AZ244" s="378"/>
      <c r="BA244" s="378"/>
      <c r="BB244" s="378"/>
      <c r="BC244" s="379"/>
      <c r="BD244" s="295" t="s">
        <v>1127</v>
      </c>
      <c r="BS244" s="86" t="s">
        <v>494</v>
      </c>
      <c r="BT244" s="86" t="s">
        <v>495</v>
      </c>
      <c r="BU244" s="87" t="s">
        <v>1404</v>
      </c>
      <c r="BV244" s="84" t="s">
        <v>1402</v>
      </c>
      <c r="DH244" s="7" t="s">
        <v>1408</v>
      </c>
      <c r="DI244" s="7" t="s">
        <v>384</v>
      </c>
      <c r="DJ244" s="7" t="s">
        <v>506</v>
      </c>
      <c r="DK244" s="7" t="s">
        <v>507</v>
      </c>
      <c r="DL244" s="7" t="s">
        <v>513</v>
      </c>
      <c r="DQ244" s="7" t="s">
        <v>1404</v>
      </c>
      <c r="DR244" s="7" t="s">
        <v>1402</v>
      </c>
      <c r="EL244" s="822" t="s">
        <v>1407</v>
      </c>
      <c r="EM244" s="817" t="s">
        <v>1406</v>
      </c>
      <c r="EN244" s="267" t="s">
        <v>1377</v>
      </c>
      <c r="EO244" s="380">
        <v>0</v>
      </c>
      <c r="EP244" s="380">
        <v>1</v>
      </c>
      <c r="EQ244" s="270">
        <v>0.3</v>
      </c>
      <c r="ER244" s="809">
        <v>0.1</v>
      </c>
      <c r="ES244" s="809">
        <v>0.6</v>
      </c>
      <c r="ET244" s="820">
        <v>0</v>
      </c>
    </row>
    <row r="245" spans="1:152" ht="39" customHeight="1" x14ac:dyDescent="0.2">
      <c r="A245" s="271" t="s">
        <v>90</v>
      </c>
      <c r="B245" s="424" t="s">
        <v>91</v>
      </c>
      <c r="C245" s="425" t="s">
        <v>992</v>
      </c>
      <c r="D245" s="425"/>
      <c r="E245" s="8" t="s">
        <v>1343</v>
      </c>
      <c r="F245" s="275" t="str">
        <f t="shared" si="153"/>
        <v>E3.P_L</v>
      </c>
      <c r="G245" s="448" t="s">
        <v>379</v>
      </c>
      <c r="H245" s="448" t="s">
        <v>507</v>
      </c>
      <c r="I245" s="452"/>
      <c r="J245" s="453" t="s">
        <v>167</v>
      </c>
      <c r="K245" s="368" t="str">
        <f t="shared" si="154"/>
        <v>E3.P_L.MR2</v>
      </c>
      <c r="L245" s="404" t="s">
        <v>495</v>
      </c>
      <c r="M245" s="405" t="s">
        <v>1352</v>
      </c>
      <c r="N245" s="282" t="s">
        <v>1389</v>
      </c>
      <c r="O245" s="282" t="s">
        <v>1390</v>
      </c>
      <c r="P245" s="372" t="s">
        <v>1364</v>
      </c>
      <c r="Q245" s="372" t="str">
        <f t="shared" si="155"/>
        <v>E3.P_L.MR2-MP04-2</v>
      </c>
      <c r="R245" s="713" t="s">
        <v>1406</v>
      </c>
      <c r="S245" s="286" t="s">
        <v>1381</v>
      </c>
      <c r="T245" s="375">
        <v>0</v>
      </c>
      <c r="U245" s="376">
        <v>1</v>
      </c>
      <c r="V245" s="375" t="s">
        <v>67</v>
      </c>
      <c r="W245" s="289">
        <v>0</v>
      </c>
      <c r="X245" s="290">
        <v>1</v>
      </c>
      <c r="Y245" s="289">
        <v>0</v>
      </c>
      <c r="Z245" s="291">
        <v>0</v>
      </c>
      <c r="AA245" s="377"/>
      <c r="AB245" s="378"/>
      <c r="AC245" s="378"/>
      <c r="AD245" s="378"/>
      <c r="AE245" s="378"/>
      <c r="AF245" s="378"/>
      <c r="AG245" s="378"/>
      <c r="AH245" s="378"/>
      <c r="AI245" s="378"/>
      <c r="AJ245" s="378"/>
      <c r="AK245" s="378"/>
      <c r="AL245" s="378"/>
      <c r="AM245" s="378"/>
      <c r="AN245" s="378"/>
      <c r="AO245" s="378"/>
      <c r="AP245" s="378"/>
      <c r="AQ245" s="378"/>
      <c r="AR245" s="378"/>
      <c r="AS245" s="378"/>
      <c r="AT245" s="378"/>
      <c r="AU245" s="378"/>
      <c r="AV245" s="378"/>
      <c r="AW245" s="378"/>
      <c r="AX245" s="378"/>
      <c r="AY245" s="378"/>
      <c r="AZ245" s="378"/>
      <c r="BA245" s="378"/>
      <c r="BB245" s="378"/>
      <c r="BC245" s="379"/>
      <c r="BD245" s="295" t="s">
        <v>1127</v>
      </c>
      <c r="BS245" s="86" t="s">
        <v>494</v>
      </c>
      <c r="BT245" s="86" t="s">
        <v>495</v>
      </c>
      <c r="BU245" s="87" t="s">
        <v>1407</v>
      </c>
      <c r="BV245" s="84" t="s">
        <v>1406</v>
      </c>
      <c r="DH245" s="7" t="s">
        <v>1410</v>
      </c>
      <c r="DI245" s="7" t="s">
        <v>384</v>
      </c>
      <c r="DJ245" s="7" t="s">
        <v>506</v>
      </c>
      <c r="DK245" s="7" t="s">
        <v>507</v>
      </c>
      <c r="DL245" s="7" t="s">
        <v>513</v>
      </c>
      <c r="DQ245" s="7" t="s">
        <v>1407</v>
      </c>
      <c r="DR245" s="7" t="s">
        <v>1406</v>
      </c>
      <c r="EL245" s="822" t="s">
        <v>1409</v>
      </c>
      <c r="EM245" s="817" t="s">
        <v>1406</v>
      </c>
      <c r="EN245" s="267" t="s">
        <v>1381</v>
      </c>
      <c r="EO245" s="380">
        <v>0</v>
      </c>
      <c r="EP245" s="380">
        <v>1</v>
      </c>
      <c r="EQ245" s="270">
        <v>0.1</v>
      </c>
      <c r="ER245" s="809">
        <v>0</v>
      </c>
      <c r="ES245" s="809">
        <v>0.2</v>
      </c>
      <c r="ET245" s="818">
        <v>0.7</v>
      </c>
    </row>
    <row r="246" spans="1:152" ht="42.75" customHeight="1" x14ac:dyDescent="0.2">
      <c r="A246" s="271" t="s">
        <v>90</v>
      </c>
      <c r="B246" s="424" t="s">
        <v>91</v>
      </c>
      <c r="C246" s="425" t="s">
        <v>992</v>
      </c>
      <c r="D246" s="425"/>
      <c r="E246" s="8" t="s">
        <v>1343</v>
      </c>
      <c r="F246" s="275" t="str">
        <f t="shared" si="153"/>
        <v>E3.P_L</v>
      </c>
      <c r="G246" s="448" t="s">
        <v>379</v>
      </c>
      <c r="H246" s="448" t="s">
        <v>507</v>
      </c>
      <c r="I246" s="452"/>
      <c r="J246" s="453" t="s">
        <v>167</v>
      </c>
      <c r="K246" s="368" t="str">
        <f t="shared" si="154"/>
        <v>E3.P_L.MR2</v>
      </c>
      <c r="L246" s="404" t="s">
        <v>495</v>
      </c>
      <c r="M246" s="405" t="s">
        <v>1352</v>
      </c>
      <c r="N246" s="282" t="s">
        <v>1389</v>
      </c>
      <c r="O246" s="282" t="s">
        <v>1390</v>
      </c>
      <c r="P246" s="372" t="s">
        <v>122</v>
      </c>
      <c r="Q246" s="372" t="str">
        <f t="shared" si="155"/>
        <v>E3.P_L.MR2-MP05-1</v>
      </c>
      <c r="R246" s="713" t="s">
        <v>1411</v>
      </c>
      <c r="S246" s="286" t="s">
        <v>1412</v>
      </c>
      <c r="T246" s="646">
        <v>0.4</v>
      </c>
      <c r="U246" s="376">
        <v>1</v>
      </c>
      <c r="V246" s="375" t="s">
        <v>67</v>
      </c>
      <c r="W246" s="309">
        <v>0.8</v>
      </c>
      <c r="X246" s="324">
        <v>0.2</v>
      </c>
      <c r="Y246" s="289">
        <v>0</v>
      </c>
      <c r="Z246" s="291">
        <v>0</v>
      </c>
      <c r="AA246" s="377"/>
      <c r="AB246" s="378"/>
      <c r="AC246" s="378"/>
      <c r="AD246" s="378"/>
      <c r="AE246" s="378"/>
      <c r="AF246" s="378"/>
      <c r="AG246" s="378"/>
      <c r="AH246" s="378"/>
      <c r="AI246" s="378"/>
      <c r="AJ246" s="378"/>
      <c r="AK246" s="378"/>
      <c r="AL246" s="378"/>
      <c r="AM246" s="378"/>
      <c r="AN246" s="378"/>
      <c r="AO246" s="378"/>
      <c r="AP246" s="378"/>
      <c r="AQ246" s="378"/>
      <c r="AR246" s="378"/>
      <c r="AS246" s="378"/>
      <c r="AT246" s="378"/>
      <c r="AU246" s="378"/>
      <c r="AV246" s="378"/>
      <c r="AW246" s="378"/>
      <c r="AX246" s="378"/>
      <c r="AY246" s="378"/>
      <c r="AZ246" s="378"/>
      <c r="BA246" s="378"/>
      <c r="BB246" s="378"/>
      <c r="BC246" s="379"/>
      <c r="BD246" s="295" t="s">
        <v>1127</v>
      </c>
      <c r="BS246" s="86" t="s">
        <v>494</v>
      </c>
      <c r="BT246" s="86" t="s">
        <v>495</v>
      </c>
      <c r="BU246" s="87" t="s">
        <v>1409</v>
      </c>
      <c r="BV246" s="84" t="s">
        <v>1406</v>
      </c>
      <c r="DH246" s="7" t="s">
        <v>1414</v>
      </c>
      <c r="DI246" s="7" t="s">
        <v>384</v>
      </c>
      <c r="DJ246" s="7" t="s">
        <v>506</v>
      </c>
      <c r="DK246" s="7" t="s">
        <v>507</v>
      </c>
      <c r="DL246" s="7" t="s">
        <v>513</v>
      </c>
      <c r="DQ246" s="7" t="s">
        <v>1409</v>
      </c>
      <c r="DR246" s="7" t="s">
        <v>1406</v>
      </c>
      <c r="EL246" s="822" t="s">
        <v>1413</v>
      </c>
      <c r="EM246" s="817" t="s">
        <v>1411</v>
      </c>
      <c r="EN246" s="267" t="s">
        <v>1412</v>
      </c>
      <c r="EO246" s="647">
        <v>0.4</v>
      </c>
      <c r="EP246" s="380">
        <v>1</v>
      </c>
      <c r="EQ246" s="270">
        <v>0.8</v>
      </c>
      <c r="ER246" s="270">
        <v>0.2</v>
      </c>
      <c r="ES246" s="269">
        <v>0</v>
      </c>
      <c r="ET246" s="820">
        <v>0</v>
      </c>
    </row>
    <row r="247" spans="1:152" ht="42" customHeight="1" x14ac:dyDescent="0.2">
      <c r="A247" s="271" t="s">
        <v>90</v>
      </c>
      <c r="B247" s="424" t="s">
        <v>91</v>
      </c>
      <c r="C247" s="425" t="s">
        <v>992</v>
      </c>
      <c r="D247" s="425"/>
      <c r="E247" s="8" t="s">
        <v>1343</v>
      </c>
      <c r="F247" s="275" t="str">
        <f t="shared" si="153"/>
        <v>E3.P_L</v>
      </c>
      <c r="G247" s="448" t="s">
        <v>379</v>
      </c>
      <c r="H247" s="448" t="s">
        <v>507</v>
      </c>
      <c r="I247" s="452"/>
      <c r="J247" s="453" t="s">
        <v>167</v>
      </c>
      <c r="K247" s="368" t="str">
        <f t="shared" si="154"/>
        <v>E3.P_L.MR2</v>
      </c>
      <c r="L247" s="404" t="s">
        <v>495</v>
      </c>
      <c r="M247" s="405" t="s">
        <v>1352</v>
      </c>
      <c r="N247" s="282" t="s">
        <v>1389</v>
      </c>
      <c r="O247" s="282" t="s">
        <v>1390</v>
      </c>
      <c r="P247" s="372" t="s">
        <v>1415</v>
      </c>
      <c r="Q247" s="372" t="str">
        <f t="shared" si="155"/>
        <v>E3.P_L.MR2-MP05-2</v>
      </c>
      <c r="R247" s="713" t="s">
        <v>1411</v>
      </c>
      <c r="S247" s="286" t="s">
        <v>1416</v>
      </c>
      <c r="T247" s="375">
        <v>0</v>
      </c>
      <c r="U247" s="376">
        <v>1</v>
      </c>
      <c r="V247" s="375" t="s">
        <v>67</v>
      </c>
      <c r="W247" s="289">
        <v>0</v>
      </c>
      <c r="X247" s="324">
        <v>0.5</v>
      </c>
      <c r="Y247" s="309">
        <v>0.5</v>
      </c>
      <c r="Z247" s="291">
        <v>0</v>
      </c>
      <c r="AA247" s="377"/>
      <c r="AB247" s="378"/>
      <c r="AC247" s="378"/>
      <c r="AD247" s="378"/>
      <c r="AE247" s="378"/>
      <c r="AF247" s="378"/>
      <c r="AG247" s="378"/>
      <c r="AH247" s="378"/>
      <c r="AI247" s="378"/>
      <c r="AJ247" s="378"/>
      <c r="AK247" s="378"/>
      <c r="AL247" s="378"/>
      <c r="AM247" s="378"/>
      <c r="AN247" s="378"/>
      <c r="AO247" s="378"/>
      <c r="AP247" s="378"/>
      <c r="AQ247" s="378"/>
      <c r="AR247" s="378"/>
      <c r="AS247" s="378"/>
      <c r="AT247" s="378"/>
      <c r="AU247" s="378"/>
      <c r="AV247" s="378"/>
      <c r="AW247" s="378"/>
      <c r="AX247" s="378"/>
      <c r="AY247" s="378"/>
      <c r="AZ247" s="378"/>
      <c r="BA247" s="378"/>
      <c r="BB247" s="378"/>
      <c r="BC247" s="379"/>
      <c r="BD247" s="295" t="s">
        <v>1127</v>
      </c>
      <c r="BS247" s="86" t="s">
        <v>494</v>
      </c>
      <c r="BT247" s="86" t="s">
        <v>495</v>
      </c>
      <c r="BU247" s="87" t="s">
        <v>1413</v>
      </c>
      <c r="BV247" s="84" t="s">
        <v>1411</v>
      </c>
      <c r="DH247" s="7" t="s">
        <v>1418</v>
      </c>
      <c r="DI247" s="7" t="s">
        <v>384</v>
      </c>
      <c r="DJ247" s="7" t="s">
        <v>506</v>
      </c>
      <c r="DK247" s="7" t="s">
        <v>507</v>
      </c>
      <c r="DL247" s="7" t="s">
        <v>513</v>
      </c>
      <c r="DQ247" s="7" t="s">
        <v>1413</v>
      </c>
      <c r="DR247" s="7" t="s">
        <v>1411</v>
      </c>
      <c r="EL247" s="822" t="s">
        <v>1417</v>
      </c>
      <c r="EM247" s="817" t="s">
        <v>1411</v>
      </c>
      <c r="EN247" s="267" t="s">
        <v>1416</v>
      </c>
      <c r="EO247" s="380">
        <v>0</v>
      </c>
      <c r="EP247" s="380">
        <v>1</v>
      </c>
      <c r="EQ247" s="269">
        <v>0</v>
      </c>
      <c r="ER247" s="809">
        <v>0.2</v>
      </c>
      <c r="ES247" s="809">
        <v>0.6</v>
      </c>
      <c r="ET247" s="818">
        <v>0.2</v>
      </c>
    </row>
    <row r="248" spans="1:152" ht="33" customHeight="1" thickBot="1" x14ac:dyDescent="0.25">
      <c r="A248" s="271" t="s">
        <v>90</v>
      </c>
      <c r="B248" s="424" t="s">
        <v>91</v>
      </c>
      <c r="C248" s="425" t="s">
        <v>992</v>
      </c>
      <c r="D248" s="425"/>
      <c r="E248" s="8" t="s">
        <v>1343</v>
      </c>
      <c r="F248" s="275" t="str">
        <f t="shared" si="153"/>
        <v>E3.P_L</v>
      </c>
      <c r="G248" s="448" t="s">
        <v>379</v>
      </c>
      <c r="H248" s="448" t="s">
        <v>507</v>
      </c>
      <c r="I248" s="458"/>
      <c r="J248" s="459" t="s">
        <v>167</v>
      </c>
      <c r="K248" s="460" t="str">
        <f t="shared" si="154"/>
        <v>E3.P_L.MR2</v>
      </c>
      <c r="L248" s="420" t="s">
        <v>495</v>
      </c>
      <c r="M248" s="421" t="s">
        <v>1352</v>
      </c>
      <c r="N248" s="422" t="s">
        <v>1389</v>
      </c>
      <c r="O248" s="422" t="s">
        <v>1390</v>
      </c>
      <c r="P248" s="385" t="s">
        <v>132</v>
      </c>
      <c r="Q248" s="386" t="str">
        <f t="shared" si="155"/>
        <v>E3.P_L.MR2-MP06-1</v>
      </c>
      <c r="R248" s="471" t="s">
        <v>1419</v>
      </c>
      <c r="S248" s="331" t="s">
        <v>1385</v>
      </c>
      <c r="T248" s="614">
        <v>0</v>
      </c>
      <c r="U248" s="615">
        <v>4</v>
      </c>
      <c r="V248" s="614" t="s">
        <v>67</v>
      </c>
      <c r="W248" s="497">
        <v>1</v>
      </c>
      <c r="X248" s="562">
        <v>1</v>
      </c>
      <c r="Y248" s="497">
        <v>1</v>
      </c>
      <c r="Z248" s="563">
        <v>1</v>
      </c>
      <c r="AA248" s="377"/>
      <c r="AB248" s="378"/>
      <c r="AC248" s="378"/>
      <c r="AD248" s="378"/>
      <c r="AE248" s="378"/>
      <c r="AF248" s="378"/>
      <c r="AG248" s="378"/>
      <c r="AH248" s="378"/>
      <c r="AI248" s="378"/>
      <c r="AJ248" s="378"/>
      <c r="AK248" s="378"/>
      <c r="AL248" s="378"/>
      <c r="AM248" s="378"/>
      <c r="AN248" s="378"/>
      <c r="AO248" s="378"/>
      <c r="AP248" s="378"/>
      <c r="AQ248" s="378"/>
      <c r="AR248" s="378"/>
      <c r="AS248" s="378"/>
      <c r="AT248" s="378"/>
      <c r="AU248" s="378"/>
      <c r="AV248" s="378"/>
      <c r="AW248" s="378"/>
      <c r="AX248" s="378"/>
      <c r="AY248" s="378"/>
      <c r="AZ248" s="378"/>
      <c r="BA248" s="378"/>
      <c r="BB248" s="378"/>
      <c r="BC248" s="379"/>
      <c r="BD248" s="295" t="s">
        <v>1127</v>
      </c>
      <c r="BS248" s="86" t="s">
        <v>494</v>
      </c>
      <c r="BT248" s="86" t="s">
        <v>495</v>
      </c>
      <c r="BU248" s="87" t="s">
        <v>1417</v>
      </c>
      <c r="BV248" s="84" t="s">
        <v>1411</v>
      </c>
      <c r="DH248" s="7" t="s">
        <v>1421</v>
      </c>
      <c r="DI248" s="7" t="s">
        <v>384</v>
      </c>
      <c r="DJ248" s="7" t="s">
        <v>506</v>
      </c>
      <c r="DK248" s="7" t="s">
        <v>507</v>
      </c>
      <c r="DL248" s="7" t="s">
        <v>513</v>
      </c>
      <c r="DQ248" s="7" t="s">
        <v>1417</v>
      </c>
      <c r="DR248" s="7" t="s">
        <v>1411</v>
      </c>
      <c r="EL248" s="822" t="s">
        <v>1420</v>
      </c>
      <c r="EM248" s="312" t="s">
        <v>1419</v>
      </c>
      <c r="EN248" s="268" t="s">
        <v>1385</v>
      </c>
      <c r="EO248" s="380">
        <v>0</v>
      </c>
      <c r="EP248" s="380">
        <v>4</v>
      </c>
      <c r="EQ248" s="269">
        <v>1</v>
      </c>
      <c r="ER248" s="269">
        <v>1</v>
      </c>
      <c r="ES248" s="269">
        <v>1</v>
      </c>
      <c r="ET248" s="820">
        <v>1</v>
      </c>
    </row>
    <row r="249" spans="1:152" ht="105" customHeight="1" x14ac:dyDescent="0.2">
      <c r="A249" s="271" t="s">
        <v>90</v>
      </c>
      <c r="B249" s="424" t="s">
        <v>91</v>
      </c>
      <c r="C249" s="425" t="s">
        <v>992</v>
      </c>
      <c r="D249" s="425"/>
      <c r="E249" s="8" t="s">
        <v>1343</v>
      </c>
      <c r="F249" s="275" t="str">
        <f t="shared" si="153"/>
        <v>E3.P_L</v>
      </c>
      <c r="G249" s="749" t="s">
        <v>379</v>
      </c>
      <c r="H249" s="749" t="s">
        <v>507</v>
      </c>
      <c r="I249" s="449" t="s">
        <v>1422</v>
      </c>
      <c r="J249" s="450" t="s">
        <v>212</v>
      </c>
      <c r="K249" s="451" t="str">
        <f t="shared" si="154"/>
        <v>E3.P_L.MR3</v>
      </c>
      <c r="L249" s="355" t="s">
        <v>503</v>
      </c>
      <c r="M249" s="653" t="s">
        <v>1352</v>
      </c>
      <c r="N249" s="241" t="s">
        <v>1423</v>
      </c>
      <c r="O249" s="241" t="s">
        <v>1424</v>
      </c>
      <c r="P249" s="359" t="s">
        <v>64</v>
      </c>
      <c r="Q249" s="360" t="str">
        <f t="shared" si="155"/>
        <v>E3.P_L.MR3-MP01-1</v>
      </c>
      <c r="R249" s="416" t="s">
        <v>1425</v>
      </c>
      <c r="S249" s="308" t="s">
        <v>1385</v>
      </c>
      <c r="T249" s="363">
        <v>0</v>
      </c>
      <c r="U249" s="364">
        <v>4</v>
      </c>
      <c r="V249" s="363" t="s">
        <v>67</v>
      </c>
      <c r="W249" s="249">
        <v>1</v>
      </c>
      <c r="X249" s="365">
        <v>1</v>
      </c>
      <c r="Y249" s="249">
        <v>1</v>
      </c>
      <c r="Z249" s="366">
        <v>1</v>
      </c>
      <c r="AA249" s="292"/>
      <c r="AB249" s="293"/>
      <c r="AC249" s="293"/>
      <c r="AD249" s="293"/>
      <c r="AE249" s="293"/>
      <c r="AF249" s="293"/>
      <c r="AG249" s="293"/>
      <c r="AH249" s="293"/>
      <c r="AI249" s="293"/>
      <c r="AJ249" s="293"/>
      <c r="AK249" s="293"/>
      <c r="AL249" s="293"/>
      <c r="AM249" s="293"/>
      <c r="AN249" s="293"/>
      <c r="AO249" s="293"/>
      <c r="AP249" s="293"/>
      <c r="AQ249" s="293"/>
      <c r="AR249" s="293"/>
      <c r="AS249" s="293"/>
      <c r="AT249" s="293"/>
      <c r="AU249" s="293"/>
      <c r="AV249" s="293"/>
      <c r="AW249" s="293"/>
      <c r="AX249" s="293"/>
      <c r="AY249" s="293"/>
      <c r="AZ249" s="293"/>
      <c r="BA249" s="293"/>
      <c r="BB249" s="293"/>
      <c r="BC249" s="294"/>
      <c r="BD249" s="295" t="s">
        <v>1127</v>
      </c>
      <c r="BS249" s="86" t="s">
        <v>494</v>
      </c>
      <c r="BT249" s="86" t="s">
        <v>495</v>
      </c>
      <c r="BU249" s="87" t="s">
        <v>1420</v>
      </c>
      <c r="BV249" s="84" t="s">
        <v>1419</v>
      </c>
      <c r="DH249" s="7" t="s">
        <v>1427</v>
      </c>
      <c r="DI249" s="7" t="s">
        <v>384</v>
      </c>
      <c r="DJ249" s="7" t="s">
        <v>506</v>
      </c>
      <c r="DK249" s="7" t="s">
        <v>507</v>
      </c>
      <c r="DL249" s="7" t="s">
        <v>513</v>
      </c>
      <c r="DQ249" s="7" t="s">
        <v>1420</v>
      </c>
      <c r="DR249" s="7" t="s">
        <v>1419</v>
      </c>
      <c r="EL249" s="822" t="s">
        <v>1426</v>
      </c>
      <c r="EM249" s="312" t="s">
        <v>1425</v>
      </c>
      <c r="EN249" s="268" t="s">
        <v>1385</v>
      </c>
      <c r="EO249" s="268">
        <v>0</v>
      </c>
      <c r="EP249" s="268">
        <v>4</v>
      </c>
      <c r="EQ249" s="269">
        <v>1</v>
      </c>
      <c r="ER249" s="269">
        <v>1</v>
      </c>
      <c r="ES249" s="269">
        <v>1</v>
      </c>
      <c r="ET249" s="820">
        <v>1</v>
      </c>
    </row>
    <row r="250" spans="1:152" ht="39" customHeight="1" x14ac:dyDescent="0.2">
      <c r="A250" s="271" t="s">
        <v>90</v>
      </c>
      <c r="B250" s="424" t="s">
        <v>91</v>
      </c>
      <c r="C250" s="425" t="s">
        <v>992</v>
      </c>
      <c r="D250" s="425"/>
      <c r="E250" s="8" t="s">
        <v>1343</v>
      </c>
      <c r="F250" s="275" t="str">
        <f t="shared" si="153"/>
        <v>E3.P_L</v>
      </c>
      <c r="G250" s="749" t="s">
        <v>379</v>
      </c>
      <c r="H250" s="749" t="s">
        <v>507</v>
      </c>
      <c r="I250" s="452"/>
      <c r="J250" s="453" t="s">
        <v>212</v>
      </c>
      <c r="K250" s="368" t="str">
        <f t="shared" si="154"/>
        <v>E3.P_L.MR3</v>
      </c>
      <c r="L250" s="280" t="s">
        <v>503</v>
      </c>
      <c r="M250" s="281" t="s">
        <v>1352</v>
      </c>
      <c r="N250" s="282" t="s">
        <v>1423</v>
      </c>
      <c r="O250" s="282" t="s">
        <v>1424</v>
      </c>
      <c r="P250" s="371" t="s">
        <v>87</v>
      </c>
      <c r="Q250" s="372" t="str">
        <f t="shared" si="155"/>
        <v>E3.P_L.MR3-MP02-1</v>
      </c>
      <c r="R250" s="416" t="s">
        <v>1428</v>
      </c>
      <c r="S250" s="308" t="s">
        <v>1429</v>
      </c>
      <c r="T250" s="287">
        <v>7</v>
      </c>
      <c r="U250" s="288">
        <v>3</v>
      </c>
      <c r="V250" s="287" t="s">
        <v>67</v>
      </c>
      <c r="W250" s="289">
        <v>0</v>
      </c>
      <c r="X250" s="290">
        <v>1</v>
      </c>
      <c r="Y250" s="289">
        <v>1</v>
      </c>
      <c r="Z250" s="291">
        <v>1</v>
      </c>
      <c r="AA250" s="292"/>
      <c r="AB250" s="293"/>
      <c r="AC250" s="293"/>
      <c r="AD250" s="293"/>
      <c r="AE250" s="293"/>
      <c r="AF250" s="293"/>
      <c r="AG250" s="293"/>
      <c r="AH250" s="293"/>
      <c r="AI250" s="293"/>
      <c r="AJ250" s="293"/>
      <c r="AK250" s="293"/>
      <c r="AL250" s="293"/>
      <c r="AM250" s="293"/>
      <c r="AN250" s="293"/>
      <c r="AO250" s="293"/>
      <c r="AP250" s="293"/>
      <c r="AQ250" s="293"/>
      <c r="AR250" s="293"/>
      <c r="AS250" s="293"/>
      <c r="AT250" s="293"/>
      <c r="AU250" s="293"/>
      <c r="AV250" s="293"/>
      <c r="AW250" s="293"/>
      <c r="AX250" s="293"/>
      <c r="AY250" s="293"/>
      <c r="AZ250" s="293"/>
      <c r="BA250" s="293"/>
      <c r="BB250" s="293"/>
      <c r="BC250" s="294"/>
      <c r="BD250" s="295" t="s">
        <v>1127</v>
      </c>
      <c r="BS250" s="84" t="s">
        <v>502</v>
      </c>
      <c r="BT250" s="84" t="s">
        <v>503</v>
      </c>
      <c r="BU250" s="87" t="s">
        <v>1426</v>
      </c>
      <c r="BV250" s="84" t="s">
        <v>1425</v>
      </c>
      <c r="DH250" s="7" t="s">
        <v>1431</v>
      </c>
      <c r="DI250" s="7" t="s">
        <v>384</v>
      </c>
      <c r="DJ250" s="7" t="s">
        <v>506</v>
      </c>
      <c r="DK250" s="7" t="s">
        <v>507</v>
      </c>
      <c r="DL250" s="7" t="s">
        <v>520</v>
      </c>
      <c r="DQ250" s="7" t="s">
        <v>1426</v>
      </c>
      <c r="DR250" s="7" t="s">
        <v>1425</v>
      </c>
      <c r="EL250" s="822" t="s">
        <v>1430</v>
      </c>
      <c r="EM250" s="312" t="s">
        <v>1428</v>
      </c>
      <c r="EN250" s="268" t="s">
        <v>1429</v>
      </c>
      <c r="EO250" s="268">
        <v>7</v>
      </c>
      <c r="EP250" s="268">
        <v>3</v>
      </c>
      <c r="EQ250" s="270">
        <v>0.5</v>
      </c>
      <c r="ER250" s="808">
        <v>1</v>
      </c>
      <c r="ES250" s="269">
        <v>1</v>
      </c>
      <c r="ET250" s="818">
        <v>0.5</v>
      </c>
    </row>
    <row r="251" spans="1:152" ht="48" customHeight="1" thickBot="1" x14ac:dyDescent="0.25">
      <c r="A251" s="271" t="s">
        <v>90</v>
      </c>
      <c r="B251" s="424" t="s">
        <v>91</v>
      </c>
      <c r="C251" s="425" t="s">
        <v>992</v>
      </c>
      <c r="D251" s="425"/>
      <c r="E251" s="8" t="s">
        <v>1343</v>
      </c>
      <c r="F251" s="275" t="str">
        <f t="shared" si="153"/>
        <v>E3.P_L</v>
      </c>
      <c r="G251" s="749" t="s">
        <v>379</v>
      </c>
      <c r="H251" s="749" t="s">
        <v>507</v>
      </c>
      <c r="I251" s="458"/>
      <c r="J251" s="459" t="s">
        <v>212</v>
      </c>
      <c r="K251" s="460" t="str">
        <f t="shared" si="154"/>
        <v>E3.P_L.MR3</v>
      </c>
      <c r="L251" s="381" t="s">
        <v>503</v>
      </c>
      <c r="M251" s="382" t="s">
        <v>1352</v>
      </c>
      <c r="N251" s="422" t="s">
        <v>1423</v>
      </c>
      <c r="O251" s="422" t="s">
        <v>1424</v>
      </c>
      <c r="P251" s="385" t="s">
        <v>99</v>
      </c>
      <c r="Q251" s="386" t="str">
        <f t="shared" si="155"/>
        <v>E3.P_L.MR3-MP03-1</v>
      </c>
      <c r="R251" s="471" t="s">
        <v>1432</v>
      </c>
      <c r="S251" s="331" t="s">
        <v>1433</v>
      </c>
      <c r="T251" s="345">
        <v>0</v>
      </c>
      <c r="U251" s="346">
        <v>2</v>
      </c>
      <c r="V251" s="345" t="s">
        <v>67</v>
      </c>
      <c r="W251" s="347">
        <v>0</v>
      </c>
      <c r="X251" s="348">
        <v>1</v>
      </c>
      <c r="Y251" s="347">
        <v>1</v>
      </c>
      <c r="Z251" s="349">
        <v>0</v>
      </c>
      <c r="AA251" s="292"/>
      <c r="AB251" s="293"/>
      <c r="AC251" s="293"/>
      <c r="AD251" s="293"/>
      <c r="AE251" s="293"/>
      <c r="AF251" s="293"/>
      <c r="AG251" s="293"/>
      <c r="AH251" s="293"/>
      <c r="AI251" s="293"/>
      <c r="AJ251" s="293"/>
      <c r="AK251" s="293"/>
      <c r="AL251" s="293"/>
      <c r="AM251" s="293"/>
      <c r="AN251" s="293"/>
      <c r="AO251" s="293"/>
      <c r="AP251" s="293"/>
      <c r="AQ251" s="293"/>
      <c r="AR251" s="293"/>
      <c r="AS251" s="293"/>
      <c r="AT251" s="293"/>
      <c r="AU251" s="293"/>
      <c r="AV251" s="293"/>
      <c r="AW251" s="293"/>
      <c r="AX251" s="293"/>
      <c r="AY251" s="293"/>
      <c r="AZ251" s="293"/>
      <c r="BA251" s="293"/>
      <c r="BB251" s="293"/>
      <c r="BC251" s="294"/>
      <c r="BD251" s="295" t="s">
        <v>1127</v>
      </c>
      <c r="BS251" s="86" t="s">
        <v>502</v>
      </c>
      <c r="BT251" s="86" t="s">
        <v>503</v>
      </c>
      <c r="BU251" s="87" t="s">
        <v>1430</v>
      </c>
      <c r="BV251" s="84" t="s">
        <v>1428</v>
      </c>
      <c r="DH251" s="7" t="s">
        <v>1435</v>
      </c>
      <c r="DI251" s="7" t="s">
        <v>384</v>
      </c>
      <c r="DJ251" s="7" t="s">
        <v>506</v>
      </c>
      <c r="DK251" s="7" t="s">
        <v>507</v>
      </c>
      <c r="DL251" s="7" t="s">
        <v>520</v>
      </c>
      <c r="DQ251" s="7" t="s">
        <v>1430</v>
      </c>
      <c r="DR251" s="7" t="s">
        <v>1428</v>
      </c>
      <c r="EL251" s="822" t="s">
        <v>1434</v>
      </c>
      <c r="EM251" s="312" t="s">
        <v>1432</v>
      </c>
      <c r="EN251" s="268" t="s">
        <v>1433</v>
      </c>
      <c r="EO251" s="268">
        <v>0</v>
      </c>
      <c r="EP251" s="268">
        <v>2</v>
      </c>
      <c r="EQ251" s="269">
        <v>0</v>
      </c>
      <c r="ER251" s="269">
        <v>1</v>
      </c>
      <c r="ES251" s="269">
        <v>1</v>
      </c>
      <c r="ET251" s="820">
        <v>0</v>
      </c>
    </row>
    <row r="252" spans="1:152" ht="119.25" customHeight="1" x14ac:dyDescent="0.2">
      <c r="A252" s="271" t="s">
        <v>90</v>
      </c>
      <c r="B252" s="424" t="s">
        <v>91</v>
      </c>
      <c r="C252" s="425" t="s">
        <v>992</v>
      </c>
      <c r="D252" s="425"/>
      <c r="E252" s="8" t="s">
        <v>1343</v>
      </c>
      <c r="F252" s="275" t="str">
        <f t="shared" si="153"/>
        <v>E3.P_L</v>
      </c>
      <c r="G252" s="448" t="s">
        <v>379</v>
      </c>
      <c r="H252" s="448" t="s">
        <v>507</v>
      </c>
      <c r="I252" s="449" t="s">
        <v>1436</v>
      </c>
      <c r="J252" s="450" t="s">
        <v>268</v>
      </c>
      <c r="K252" s="451" t="str">
        <f t="shared" si="154"/>
        <v>E3.P_L.MR4</v>
      </c>
      <c r="L252" s="355" t="s">
        <v>511</v>
      </c>
      <c r="M252" s="356" t="s">
        <v>1437</v>
      </c>
      <c r="N252" s="750">
        <v>0</v>
      </c>
      <c r="O252" s="475">
        <v>4</v>
      </c>
      <c r="P252" s="477" t="s">
        <v>64</v>
      </c>
      <c r="Q252" s="477" t="str">
        <f t="shared" si="155"/>
        <v>E3.P_L.MR4-MP01-1</v>
      </c>
      <c r="R252" s="711" t="s">
        <v>1438</v>
      </c>
      <c r="S252" s="712" t="s">
        <v>1439</v>
      </c>
      <c r="T252" s="612">
        <v>0</v>
      </c>
      <c r="U252" s="613">
        <v>1</v>
      </c>
      <c r="V252" s="612" t="s">
        <v>67</v>
      </c>
      <c r="W252" s="480">
        <v>1</v>
      </c>
      <c r="X252" s="481">
        <v>0</v>
      </c>
      <c r="Y252" s="480">
        <v>0</v>
      </c>
      <c r="Z252" s="482">
        <v>0</v>
      </c>
      <c r="AA252" s="292"/>
      <c r="AB252" s="293"/>
      <c r="AC252" s="293"/>
      <c r="AD252" s="293"/>
      <c r="AE252" s="293"/>
      <c r="AF252" s="293"/>
      <c r="AG252" s="293"/>
      <c r="AH252" s="293"/>
      <c r="AI252" s="293"/>
      <c r="AJ252" s="293"/>
      <c r="AK252" s="293"/>
      <c r="AL252" s="293"/>
      <c r="AM252" s="293"/>
      <c r="AN252" s="293"/>
      <c r="AO252" s="293"/>
      <c r="AP252" s="293"/>
      <c r="AQ252" s="293"/>
      <c r="AR252" s="293"/>
      <c r="AS252" s="293"/>
      <c r="AT252" s="293"/>
      <c r="AU252" s="293"/>
      <c r="AV252" s="293"/>
      <c r="AW252" s="293"/>
      <c r="AX252" s="293"/>
      <c r="AY252" s="293"/>
      <c r="AZ252" s="293"/>
      <c r="BA252" s="293"/>
      <c r="BB252" s="293"/>
      <c r="BC252" s="294"/>
      <c r="BD252" s="295" t="s">
        <v>1127</v>
      </c>
      <c r="BS252" s="86" t="s">
        <v>502</v>
      </c>
      <c r="BT252" s="86" t="s">
        <v>503</v>
      </c>
      <c r="BU252" s="87" t="s">
        <v>1434</v>
      </c>
      <c r="BV252" s="84" t="s">
        <v>1432</v>
      </c>
      <c r="DH252" s="7" t="s">
        <v>1441</v>
      </c>
      <c r="DI252" s="7" t="s">
        <v>384</v>
      </c>
      <c r="DJ252" s="7" t="s">
        <v>506</v>
      </c>
      <c r="DK252" s="7" t="s">
        <v>507</v>
      </c>
      <c r="DL252" s="7" t="s">
        <v>520</v>
      </c>
      <c r="DQ252" s="7" t="s">
        <v>1434</v>
      </c>
      <c r="DR252" s="7" t="s">
        <v>1432</v>
      </c>
      <c r="EL252" s="828" t="s">
        <v>1440</v>
      </c>
      <c r="EM252" s="817" t="s">
        <v>1438</v>
      </c>
      <c r="EN252" s="267" t="s">
        <v>1439</v>
      </c>
      <c r="EO252" s="268">
        <v>0</v>
      </c>
      <c r="EP252" s="268">
        <v>1</v>
      </c>
      <c r="EQ252" s="269">
        <v>1</v>
      </c>
      <c r="ER252" s="269">
        <v>0</v>
      </c>
      <c r="ES252" s="269">
        <v>0</v>
      </c>
      <c r="ET252" s="820">
        <v>0</v>
      </c>
    </row>
    <row r="253" spans="1:152" ht="40.5" customHeight="1" x14ac:dyDescent="0.2">
      <c r="A253" s="271" t="s">
        <v>90</v>
      </c>
      <c r="B253" s="424" t="s">
        <v>91</v>
      </c>
      <c r="C253" s="425" t="s">
        <v>992</v>
      </c>
      <c r="D253" s="425"/>
      <c r="E253" s="8" t="s">
        <v>1343</v>
      </c>
      <c r="F253" s="275" t="str">
        <f t="shared" si="153"/>
        <v>E3.P_L</v>
      </c>
      <c r="G253" s="276" t="s">
        <v>379</v>
      </c>
      <c r="H253" s="276" t="s">
        <v>507</v>
      </c>
      <c r="I253" s="452"/>
      <c r="J253" s="453" t="s">
        <v>268</v>
      </c>
      <c r="K253" s="368" t="str">
        <f t="shared" si="154"/>
        <v>E3.P_L.MR4</v>
      </c>
      <c r="L253" s="404" t="s">
        <v>511</v>
      </c>
      <c r="M253" s="405" t="s">
        <v>1437</v>
      </c>
      <c r="N253" s="751">
        <v>0</v>
      </c>
      <c r="O253" s="487">
        <v>4</v>
      </c>
      <c r="P253" s="488" t="s">
        <v>74</v>
      </c>
      <c r="Q253" s="488" t="str">
        <f t="shared" si="155"/>
        <v>E3.P_L.MR4-MP01-2</v>
      </c>
      <c r="R253" s="713" t="s">
        <v>1438</v>
      </c>
      <c r="S253" s="286" t="s">
        <v>1442</v>
      </c>
      <c r="T253" s="287">
        <v>0</v>
      </c>
      <c r="U253" s="288">
        <v>1</v>
      </c>
      <c r="V253" s="287" t="s">
        <v>67</v>
      </c>
      <c r="W253" s="289">
        <v>0</v>
      </c>
      <c r="X253" s="290">
        <v>1</v>
      </c>
      <c r="Y253" s="289">
        <v>0</v>
      </c>
      <c r="Z253" s="291">
        <v>0</v>
      </c>
      <c r="AA253" s="292"/>
      <c r="AB253" s="293"/>
      <c r="AC253" s="293"/>
      <c r="AD253" s="293"/>
      <c r="AE253" s="293"/>
      <c r="AF253" s="293"/>
      <c r="AG253" s="293"/>
      <c r="AH253" s="293"/>
      <c r="AI253" s="293"/>
      <c r="AJ253" s="293"/>
      <c r="AK253" s="293"/>
      <c r="AL253" s="293"/>
      <c r="AM253" s="293"/>
      <c r="AN253" s="293"/>
      <c r="AO253" s="293"/>
      <c r="AP253" s="293"/>
      <c r="AQ253" s="293"/>
      <c r="AR253" s="293"/>
      <c r="AS253" s="293"/>
      <c r="AT253" s="293"/>
      <c r="AU253" s="293"/>
      <c r="AV253" s="293"/>
      <c r="AW253" s="293"/>
      <c r="AX253" s="293"/>
      <c r="AY253" s="293"/>
      <c r="AZ253" s="293"/>
      <c r="BA253" s="293"/>
      <c r="BB253" s="293"/>
      <c r="BC253" s="294"/>
      <c r="BD253" s="295" t="s">
        <v>1127</v>
      </c>
      <c r="BS253" s="84" t="s">
        <v>510</v>
      </c>
      <c r="BT253" s="84" t="s">
        <v>511</v>
      </c>
      <c r="BU253" s="87" t="s">
        <v>1440</v>
      </c>
      <c r="BV253" s="84" t="s">
        <v>1438</v>
      </c>
      <c r="DH253" s="7" t="s">
        <v>1444</v>
      </c>
      <c r="DI253" s="7" t="s">
        <v>384</v>
      </c>
      <c r="DJ253" s="7" t="s">
        <v>506</v>
      </c>
      <c r="DK253" s="7" t="s">
        <v>507</v>
      </c>
      <c r="DL253" s="7" t="s">
        <v>527</v>
      </c>
      <c r="DQ253" s="7" t="s">
        <v>1440</v>
      </c>
      <c r="DR253" s="7" t="s">
        <v>1438</v>
      </c>
      <c r="EL253" s="828" t="s">
        <v>1443</v>
      </c>
      <c r="EM253" s="817" t="s">
        <v>1438</v>
      </c>
      <c r="EN253" s="267" t="s">
        <v>1442</v>
      </c>
      <c r="EO253" s="268">
        <v>0</v>
      </c>
      <c r="EP253" s="268">
        <v>1</v>
      </c>
      <c r="EQ253" s="269">
        <v>0</v>
      </c>
      <c r="ER253" s="808">
        <v>0</v>
      </c>
      <c r="ES253" s="809">
        <v>0.4</v>
      </c>
      <c r="ET253" s="818">
        <v>0.6</v>
      </c>
    </row>
    <row r="254" spans="1:152" ht="45.75" customHeight="1" x14ac:dyDescent="0.2">
      <c r="A254" s="271" t="s">
        <v>90</v>
      </c>
      <c r="B254" s="424" t="s">
        <v>91</v>
      </c>
      <c r="C254" s="425" t="s">
        <v>992</v>
      </c>
      <c r="D254" s="425"/>
      <c r="E254" s="8" t="s">
        <v>1343</v>
      </c>
      <c r="F254" s="275" t="str">
        <f t="shared" si="153"/>
        <v>E3.P_L</v>
      </c>
      <c r="G254" s="276" t="s">
        <v>379</v>
      </c>
      <c r="H254" s="276" t="s">
        <v>507</v>
      </c>
      <c r="I254" s="452"/>
      <c r="J254" s="453" t="s">
        <v>268</v>
      </c>
      <c r="K254" s="368" t="str">
        <f t="shared" si="154"/>
        <v>E3.P_L.MR4</v>
      </c>
      <c r="L254" s="404" t="s">
        <v>511</v>
      </c>
      <c r="M254" s="405" t="s">
        <v>1437</v>
      </c>
      <c r="N254" s="751">
        <v>0</v>
      </c>
      <c r="O254" s="487">
        <v>4</v>
      </c>
      <c r="P254" s="488" t="s">
        <v>87</v>
      </c>
      <c r="Q254" s="488" t="str">
        <f t="shared" si="155"/>
        <v>E3.P_L.MR4-MP02-1</v>
      </c>
      <c r="R254" s="713" t="s">
        <v>1445</v>
      </c>
      <c r="S254" s="286" t="s">
        <v>1446</v>
      </c>
      <c r="T254" s="287">
        <v>0</v>
      </c>
      <c r="U254" s="288">
        <v>1</v>
      </c>
      <c r="V254" s="287" t="s">
        <v>67</v>
      </c>
      <c r="W254" s="289">
        <v>0.2</v>
      </c>
      <c r="X254" s="290">
        <v>0.8</v>
      </c>
      <c r="Y254" s="289">
        <v>0</v>
      </c>
      <c r="Z254" s="291">
        <v>0</v>
      </c>
      <c r="AA254" s="292"/>
      <c r="AB254" s="293"/>
      <c r="AC254" s="293"/>
      <c r="AD254" s="293"/>
      <c r="AE254" s="293"/>
      <c r="AF254" s="293"/>
      <c r="AG254" s="293"/>
      <c r="AH254" s="293"/>
      <c r="AI254" s="293"/>
      <c r="AJ254" s="293"/>
      <c r="AK254" s="293"/>
      <c r="AL254" s="293"/>
      <c r="AM254" s="293"/>
      <c r="AN254" s="293"/>
      <c r="AO254" s="293"/>
      <c r="AP254" s="293"/>
      <c r="AQ254" s="293"/>
      <c r="AR254" s="293"/>
      <c r="AS254" s="293"/>
      <c r="AT254" s="293"/>
      <c r="AU254" s="293"/>
      <c r="AV254" s="293"/>
      <c r="AW254" s="293"/>
      <c r="AX254" s="293"/>
      <c r="AY254" s="293"/>
      <c r="AZ254" s="293"/>
      <c r="BA254" s="293"/>
      <c r="BB254" s="293"/>
      <c r="BC254" s="294"/>
      <c r="BD254" s="295" t="s">
        <v>1127</v>
      </c>
      <c r="BS254" s="86" t="s">
        <v>510</v>
      </c>
      <c r="BT254" s="86" t="s">
        <v>511</v>
      </c>
      <c r="BU254" s="87" t="s">
        <v>1443</v>
      </c>
      <c r="BV254" s="84" t="s">
        <v>1438</v>
      </c>
      <c r="DH254" s="7" t="s">
        <v>1448</v>
      </c>
      <c r="DI254" s="7" t="s">
        <v>384</v>
      </c>
      <c r="DJ254" s="7" t="s">
        <v>506</v>
      </c>
      <c r="DK254" s="7" t="s">
        <v>507</v>
      </c>
      <c r="DL254" s="7" t="s">
        <v>527</v>
      </c>
      <c r="DQ254" s="7" t="s">
        <v>1443</v>
      </c>
      <c r="DR254" s="7" t="s">
        <v>1438</v>
      </c>
      <c r="EL254" s="828" t="s">
        <v>1447</v>
      </c>
      <c r="EM254" s="817" t="s">
        <v>1445</v>
      </c>
      <c r="EN254" s="267" t="s">
        <v>1446</v>
      </c>
      <c r="EO254" s="268">
        <v>0</v>
      </c>
      <c r="EP254" s="268">
        <v>1</v>
      </c>
      <c r="EQ254" s="270">
        <v>0.2</v>
      </c>
      <c r="ER254" s="809">
        <v>0.3</v>
      </c>
      <c r="ES254" s="809">
        <v>0.5</v>
      </c>
      <c r="ET254" s="820">
        <v>0</v>
      </c>
    </row>
    <row r="255" spans="1:152" ht="48.75" customHeight="1" thickBot="1" x14ac:dyDescent="0.25">
      <c r="A255" s="271" t="s">
        <v>90</v>
      </c>
      <c r="B255" s="592" t="s">
        <v>91</v>
      </c>
      <c r="C255" s="593" t="s">
        <v>992</v>
      </c>
      <c r="D255" s="593"/>
      <c r="E255" s="21" t="s">
        <v>1343</v>
      </c>
      <c r="F255" s="594" t="str">
        <f t="shared" si="153"/>
        <v>E3.P_L</v>
      </c>
      <c r="G255" s="418" t="s">
        <v>379</v>
      </c>
      <c r="H255" s="418" t="s">
        <v>507</v>
      </c>
      <c r="I255" s="458"/>
      <c r="J255" s="459" t="s">
        <v>268</v>
      </c>
      <c r="K255" s="460" t="str">
        <f t="shared" si="154"/>
        <v>E3.P_L.MR4</v>
      </c>
      <c r="L255" s="420" t="s">
        <v>511</v>
      </c>
      <c r="M255" s="421" t="s">
        <v>1437</v>
      </c>
      <c r="N255" s="752">
        <v>0</v>
      </c>
      <c r="O255" s="493">
        <v>4</v>
      </c>
      <c r="P255" s="494" t="s">
        <v>1271</v>
      </c>
      <c r="Q255" s="494" t="str">
        <f t="shared" si="155"/>
        <v>E3.P_L.MR4-MP02-2</v>
      </c>
      <c r="R255" s="753" t="s">
        <v>1445</v>
      </c>
      <c r="S255" s="754" t="s">
        <v>1449</v>
      </c>
      <c r="T255" s="332">
        <v>0</v>
      </c>
      <c r="U255" s="333">
        <v>1</v>
      </c>
      <c r="V255" s="332" t="s">
        <v>67</v>
      </c>
      <c r="W255" s="497">
        <v>0</v>
      </c>
      <c r="X255" s="562">
        <v>1</v>
      </c>
      <c r="Y255" s="497">
        <v>0</v>
      </c>
      <c r="Z255" s="563">
        <v>0</v>
      </c>
      <c r="AA255" s="755"/>
      <c r="AB255" s="756"/>
      <c r="AC255" s="756"/>
      <c r="AD255" s="756"/>
      <c r="AE255" s="756"/>
      <c r="AF255" s="756"/>
      <c r="AG255" s="756"/>
      <c r="AH255" s="756"/>
      <c r="AI255" s="756"/>
      <c r="AJ255" s="756"/>
      <c r="AK255" s="756"/>
      <c r="AL255" s="756"/>
      <c r="AM255" s="756"/>
      <c r="AN255" s="756"/>
      <c r="AO255" s="756"/>
      <c r="AP255" s="756"/>
      <c r="AQ255" s="756"/>
      <c r="AR255" s="756"/>
      <c r="AS255" s="756"/>
      <c r="AT255" s="756"/>
      <c r="AU255" s="756"/>
      <c r="AV255" s="756"/>
      <c r="AW255" s="756"/>
      <c r="AX255" s="756"/>
      <c r="AY255" s="756"/>
      <c r="AZ255" s="756"/>
      <c r="BA255" s="756"/>
      <c r="BB255" s="756"/>
      <c r="BC255" s="757"/>
      <c r="BD255" s="295" t="s">
        <v>1127</v>
      </c>
      <c r="BS255" s="86" t="s">
        <v>510</v>
      </c>
      <c r="BT255" s="86" t="s">
        <v>511</v>
      </c>
      <c r="BU255" s="87" t="s">
        <v>1447</v>
      </c>
      <c r="BV255" s="84" t="s">
        <v>1445</v>
      </c>
      <c r="DH255" s="7" t="s">
        <v>1451</v>
      </c>
      <c r="DI255" s="7" t="s">
        <v>384</v>
      </c>
      <c r="DJ255" s="7" t="s">
        <v>506</v>
      </c>
      <c r="DK255" s="7" t="s">
        <v>507</v>
      </c>
      <c r="DL255" s="7" t="s">
        <v>527</v>
      </c>
      <c r="DQ255" s="7" t="s">
        <v>1447</v>
      </c>
      <c r="DR255" s="7" t="s">
        <v>1445</v>
      </c>
      <c r="EL255" s="828" t="s">
        <v>1450</v>
      </c>
      <c r="EM255" s="817" t="s">
        <v>1445</v>
      </c>
      <c r="EN255" s="267" t="s">
        <v>1449</v>
      </c>
      <c r="EO255" s="268">
        <v>0</v>
      </c>
      <c r="EP255" s="268">
        <v>1</v>
      </c>
      <c r="EQ255" s="269">
        <v>0</v>
      </c>
      <c r="ER255" s="808">
        <v>0</v>
      </c>
      <c r="ES255" s="809">
        <v>0.4</v>
      </c>
      <c r="ET255" s="818">
        <v>0.6</v>
      </c>
    </row>
    <row r="256" spans="1:152" ht="94.5" customHeight="1" x14ac:dyDescent="0.2">
      <c r="A256" s="229" t="s">
        <v>103</v>
      </c>
      <c r="B256" s="758" t="s">
        <v>104</v>
      </c>
      <c r="C256" s="759" t="s">
        <v>1452</v>
      </c>
      <c r="D256" s="760" t="s">
        <v>1453</v>
      </c>
      <c r="E256" s="3" t="s">
        <v>57</v>
      </c>
      <c r="F256" s="637" t="str">
        <f t="shared" si="153"/>
        <v>E4.P_A</v>
      </c>
      <c r="G256" s="728" t="s">
        <v>391</v>
      </c>
      <c r="H256" s="511" t="s">
        <v>542</v>
      </c>
      <c r="I256" s="399" t="s">
        <v>1454</v>
      </c>
      <c r="J256" s="430" t="s">
        <v>61</v>
      </c>
      <c r="K256" s="393" t="str">
        <f t="shared" si="154"/>
        <v>E4.P_A.MR1</v>
      </c>
      <c r="L256" s="355" t="s">
        <v>518</v>
      </c>
      <c r="M256" s="356" t="s">
        <v>1455</v>
      </c>
      <c r="N256" s="761">
        <v>635</v>
      </c>
      <c r="O256" s="761">
        <v>571</v>
      </c>
      <c r="P256" s="762" t="s">
        <v>64</v>
      </c>
      <c r="Q256" s="762" t="str">
        <f t="shared" si="155"/>
        <v>E4.P_A.MR1-MP01-1</v>
      </c>
      <c r="R256" s="412" t="s">
        <v>1456</v>
      </c>
      <c r="S256" s="362" t="s">
        <v>1457</v>
      </c>
      <c r="T256" s="363">
        <v>10</v>
      </c>
      <c r="U256" s="364">
        <v>100</v>
      </c>
      <c r="V256" s="363" t="s">
        <v>67</v>
      </c>
      <c r="W256" s="249">
        <v>25</v>
      </c>
      <c r="X256" s="365">
        <v>25</v>
      </c>
      <c r="Y256" s="249">
        <v>25</v>
      </c>
      <c r="Z256" s="366">
        <v>25</v>
      </c>
      <c r="AA256" s="253">
        <f>40000000+40000000+10000000+80000000+422661060</f>
        <v>592661060</v>
      </c>
      <c r="AB256" s="254">
        <v>0</v>
      </c>
      <c r="AC256" s="254">
        <v>200000000</v>
      </c>
      <c r="AD256" s="254">
        <v>0</v>
      </c>
      <c r="AE256" s="254">
        <v>0</v>
      </c>
      <c r="AF256" s="254">
        <f>200000000+18874000+20000000+80000000+130000000+300000000+150000000+200000000+70000000+150000000+307184290+1325260457+100000000+200000000+356020193</f>
        <v>3607338940</v>
      </c>
      <c r="AG256" s="254">
        <f t="shared" ref="AG256" si="196">SUM(AA256:AF256)</f>
        <v>4400000000</v>
      </c>
      <c r="AH256" s="254">
        <f t="shared" ref="AH256:AM256" si="197">AA256*1.035</f>
        <v>613404197.0999999</v>
      </c>
      <c r="AI256" s="254">
        <f t="shared" si="197"/>
        <v>0</v>
      </c>
      <c r="AJ256" s="254">
        <f t="shared" si="197"/>
        <v>206999999.99999997</v>
      </c>
      <c r="AK256" s="254">
        <f t="shared" si="197"/>
        <v>0</v>
      </c>
      <c r="AL256" s="254">
        <f t="shared" si="197"/>
        <v>0</v>
      </c>
      <c r="AM256" s="254">
        <f t="shared" si="197"/>
        <v>3733595802.8999996</v>
      </c>
      <c r="AN256" s="254">
        <f t="shared" ref="AN256" si="198">SUM(AH256:AM256)</f>
        <v>4554000000</v>
      </c>
      <c r="AO256" s="254">
        <f>AH256*1.035</f>
        <v>634873343.99849987</v>
      </c>
      <c r="AP256" s="254">
        <f t="shared" ref="AP256:BA256" si="199">AI256*1.035</f>
        <v>0</v>
      </c>
      <c r="AQ256" s="254">
        <f t="shared" si="199"/>
        <v>214244999.99999994</v>
      </c>
      <c r="AR256" s="254">
        <f t="shared" si="199"/>
        <v>0</v>
      </c>
      <c r="AS256" s="254">
        <f t="shared" si="199"/>
        <v>0</v>
      </c>
      <c r="AT256" s="254">
        <f t="shared" si="199"/>
        <v>3864271656.0014992</v>
      </c>
      <c r="AU256" s="254">
        <f t="shared" si="199"/>
        <v>4713390000</v>
      </c>
      <c r="AV256" s="254">
        <f t="shared" si="199"/>
        <v>657093911.03844726</v>
      </c>
      <c r="AW256" s="254">
        <f t="shared" si="199"/>
        <v>0</v>
      </c>
      <c r="AX256" s="254">
        <f t="shared" si="199"/>
        <v>221743574.99999991</v>
      </c>
      <c r="AY256" s="254">
        <f t="shared" si="199"/>
        <v>0</v>
      </c>
      <c r="AZ256" s="254">
        <f t="shared" si="199"/>
        <v>0</v>
      </c>
      <c r="BA256" s="254">
        <f t="shared" si="199"/>
        <v>3999521163.9615512</v>
      </c>
      <c r="BB256" s="254">
        <f t="shared" ref="BB256" si="200">SUM(AV256:BA256)</f>
        <v>4878358649.9999981</v>
      </c>
      <c r="BC256" s="641">
        <f t="shared" ref="BC256" si="201">+BB256+AU256+AN256+AG256</f>
        <v>18545748650</v>
      </c>
      <c r="BD256" s="295" t="s">
        <v>1458</v>
      </c>
      <c r="BS256" s="86" t="s">
        <v>510</v>
      </c>
      <c r="BT256" s="86" t="s">
        <v>511</v>
      </c>
      <c r="BU256" s="87" t="s">
        <v>1450</v>
      </c>
      <c r="BV256" s="84" t="s">
        <v>1445</v>
      </c>
      <c r="DH256" s="7" t="s">
        <v>1460</v>
      </c>
      <c r="DI256" s="7" t="s">
        <v>384</v>
      </c>
      <c r="DJ256" s="7" t="s">
        <v>506</v>
      </c>
      <c r="DK256" s="7" t="s">
        <v>507</v>
      </c>
      <c r="DL256" s="7" t="s">
        <v>527</v>
      </c>
      <c r="DQ256" s="7" t="s">
        <v>1450</v>
      </c>
      <c r="DR256" s="7" t="s">
        <v>1445</v>
      </c>
      <c r="EL256" s="828" t="s">
        <v>1459</v>
      </c>
      <c r="EM256" s="312" t="s">
        <v>1456</v>
      </c>
      <c r="EN256" s="268" t="s">
        <v>1457</v>
      </c>
      <c r="EO256" s="268">
        <v>10</v>
      </c>
      <c r="EP256" s="268">
        <v>100</v>
      </c>
      <c r="EQ256" s="269">
        <v>25</v>
      </c>
      <c r="ER256" s="269">
        <v>25</v>
      </c>
      <c r="ES256" s="269">
        <v>25</v>
      </c>
      <c r="ET256" s="820">
        <v>25</v>
      </c>
    </row>
    <row r="257" spans="1:150" ht="41.25" customHeight="1" x14ac:dyDescent="0.2">
      <c r="A257" s="763" t="s">
        <v>103</v>
      </c>
      <c r="B257" s="424" t="s">
        <v>104</v>
      </c>
      <c r="C257" s="425" t="s">
        <v>1452</v>
      </c>
      <c r="D257" s="425"/>
      <c r="E257" s="8" t="s">
        <v>57</v>
      </c>
      <c r="F257" s="643" t="str">
        <f t="shared" si="153"/>
        <v>E4.P_A</v>
      </c>
      <c r="G257" s="405" t="s">
        <v>391</v>
      </c>
      <c r="H257" s="405" t="s">
        <v>542</v>
      </c>
      <c r="I257" s="438"/>
      <c r="J257" s="278" t="s">
        <v>61</v>
      </c>
      <c r="K257" s="279" t="str">
        <f t="shared" si="154"/>
        <v>E4.P_A.MR1</v>
      </c>
      <c r="L257" s="404" t="s">
        <v>518</v>
      </c>
      <c r="M257" s="405" t="s">
        <v>1455</v>
      </c>
      <c r="N257" s="487">
        <v>635</v>
      </c>
      <c r="O257" s="487">
        <v>571</v>
      </c>
      <c r="P257" s="764" t="s">
        <v>87</v>
      </c>
      <c r="Q257" s="764" t="str">
        <f t="shared" si="155"/>
        <v>E4.P_A.MR1-MP02-1</v>
      </c>
      <c r="R257" s="416" t="s">
        <v>1461</v>
      </c>
      <c r="S257" s="308" t="s">
        <v>1462</v>
      </c>
      <c r="T257" s="313">
        <v>0.17</v>
      </c>
      <c r="U257" s="314">
        <v>1</v>
      </c>
      <c r="V257" s="313" t="s">
        <v>67</v>
      </c>
      <c r="W257" s="315">
        <v>0.25</v>
      </c>
      <c r="X257" s="316">
        <v>0.25</v>
      </c>
      <c r="Y257" s="315">
        <v>0.25</v>
      </c>
      <c r="Z257" s="317">
        <v>0.25</v>
      </c>
      <c r="AA257" s="318"/>
      <c r="AB257" s="319"/>
      <c r="AC257" s="319"/>
      <c r="AD257" s="319"/>
      <c r="AE257" s="319"/>
      <c r="AF257" s="319"/>
      <c r="AG257" s="319"/>
      <c r="AH257" s="319"/>
      <c r="AI257" s="319"/>
      <c r="AJ257" s="319"/>
      <c r="AK257" s="319"/>
      <c r="AL257" s="319"/>
      <c r="AM257" s="319"/>
      <c r="AN257" s="319"/>
      <c r="AO257" s="319"/>
      <c r="AP257" s="319"/>
      <c r="AQ257" s="319"/>
      <c r="AR257" s="319"/>
      <c r="AS257" s="319"/>
      <c r="AT257" s="319"/>
      <c r="AU257" s="319"/>
      <c r="AV257" s="319"/>
      <c r="AW257" s="319"/>
      <c r="AX257" s="319"/>
      <c r="AY257" s="319"/>
      <c r="AZ257" s="319"/>
      <c r="BA257" s="319"/>
      <c r="BB257" s="319"/>
      <c r="BC257" s="320"/>
      <c r="BD257" s="295" t="s">
        <v>1458</v>
      </c>
      <c r="BS257" s="84" t="s">
        <v>517</v>
      </c>
      <c r="BT257" s="84" t="s">
        <v>518</v>
      </c>
      <c r="BU257" s="85" t="s">
        <v>1459</v>
      </c>
      <c r="BV257" s="84" t="s">
        <v>1456</v>
      </c>
      <c r="DH257" s="7" t="s">
        <v>1464</v>
      </c>
      <c r="DI257" s="7" t="s">
        <v>540</v>
      </c>
      <c r="DJ257" s="7" t="s">
        <v>541</v>
      </c>
      <c r="DK257" s="7" t="s">
        <v>542</v>
      </c>
      <c r="DL257" s="7" t="s">
        <v>539</v>
      </c>
      <c r="DQ257" s="7" t="s">
        <v>1459</v>
      </c>
      <c r="DR257" s="7" t="s">
        <v>1456</v>
      </c>
      <c r="EL257" s="828" t="s">
        <v>1463</v>
      </c>
      <c r="EM257" s="312" t="s">
        <v>1461</v>
      </c>
      <c r="EN257" s="268" t="s">
        <v>1462</v>
      </c>
      <c r="EO257" s="323">
        <v>17</v>
      </c>
      <c r="EP257" s="806">
        <v>100</v>
      </c>
      <c r="EQ257" s="806">
        <v>25</v>
      </c>
      <c r="ER257" s="806">
        <v>25</v>
      </c>
      <c r="ES257" s="806">
        <v>25</v>
      </c>
      <c r="ET257" s="841">
        <v>25</v>
      </c>
    </row>
    <row r="258" spans="1:150" ht="39.75" customHeight="1" x14ac:dyDescent="0.2">
      <c r="A258" s="763" t="s">
        <v>103</v>
      </c>
      <c r="B258" s="424" t="s">
        <v>104</v>
      </c>
      <c r="C258" s="425" t="s">
        <v>1452</v>
      </c>
      <c r="D258" s="425"/>
      <c r="E258" s="8" t="s">
        <v>57</v>
      </c>
      <c r="F258" s="643" t="str">
        <f t="shared" si="153"/>
        <v>E4.P_A</v>
      </c>
      <c r="G258" s="405" t="s">
        <v>391</v>
      </c>
      <c r="H258" s="405" t="s">
        <v>542</v>
      </c>
      <c r="I258" s="438"/>
      <c r="J258" s="278" t="s">
        <v>61</v>
      </c>
      <c r="K258" s="279" t="str">
        <f t="shared" si="154"/>
        <v>E4.P_A.MR1</v>
      </c>
      <c r="L258" s="404" t="s">
        <v>518</v>
      </c>
      <c r="M258" s="405" t="s">
        <v>1455</v>
      </c>
      <c r="N258" s="487">
        <v>635</v>
      </c>
      <c r="O258" s="487">
        <v>571</v>
      </c>
      <c r="P258" s="765" t="s">
        <v>99</v>
      </c>
      <c r="Q258" s="764" t="str">
        <f t="shared" si="155"/>
        <v>E4.P_A.MR1-MP03-1</v>
      </c>
      <c r="R258" s="416" t="s">
        <v>1465</v>
      </c>
      <c r="S258" s="308" t="s">
        <v>1466</v>
      </c>
      <c r="T258" s="375">
        <v>1</v>
      </c>
      <c r="U258" s="376">
        <v>2</v>
      </c>
      <c r="V258" s="375" t="s">
        <v>67</v>
      </c>
      <c r="W258" s="309">
        <v>0.6</v>
      </c>
      <c r="X258" s="324">
        <v>0.8</v>
      </c>
      <c r="Y258" s="309">
        <v>0.6</v>
      </c>
      <c r="Z258" s="291">
        <v>0</v>
      </c>
      <c r="AA258" s="377"/>
      <c r="AB258" s="378"/>
      <c r="AC258" s="378"/>
      <c r="AD258" s="378"/>
      <c r="AE258" s="378"/>
      <c r="AF258" s="378"/>
      <c r="AG258" s="378"/>
      <c r="AH258" s="378"/>
      <c r="AI258" s="378"/>
      <c r="AJ258" s="378"/>
      <c r="AK258" s="378"/>
      <c r="AL258" s="378"/>
      <c r="AM258" s="378"/>
      <c r="AN258" s="378"/>
      <c r="AO258" s="378"/>
      <c r="AP258" s="378"/>
      <c r="AQ258" s="378"/>
      <c r="AR258" s="378"/>
      <c r="AS258" s="378"/>
      <c r="AT258" s="378"/>
      <c r="AU258" s="378"/>
      <c r="AV258" s="378"/>
      <c r="AW258" s="378"/>
      <c r="AX258" s="378"/>
      <c r="AY258" s="378"/>
      <c r="AZ258" s="378"/>
      <c r="BA258" s="378"/>
      <c r="BB258" s="378"/>
      <c r="BC258" s="379"/>
      <c r="BD258" s="295" t="s">
        <v>1458</v>
      </c>
      <c r="BS258" s="86" t="s">
        <v>517</v>
      </c>
      <c r="BT258" s="86" t="s">
        <v>518</v>
      </c>
      <c r="BU258" s="85" t="s">
        <v>1463</v>
      </c>
      <c r="BV258" s="84" t="s">
        <v>1461</v>
      </c>
      <c r="DH258" s="7" t="s">
        <v>1468</v>
      </c>
      <c r="DI258" s="7" t="s">
        <v>540</v>
      </c>
      <c r="DJ258" s="7" t="s">
        <v>541</v>
      </c>
      <c r="DK258" s="7" t="s">
        <v>542</v>
      </c>
      <c r="DL258" s="7" t="s">
        <v>539</v>
      </c>
      <c r="DQ258" s="7" t="s">
        <v>1463</v>
      </c>
      <c r="DR258" s="7" t="s">
        <v>1461</v>
      </c>
      <c r="EL258" s="828" t="s">
        <v>1467</v>
      </c>
      <c r="EM258" s="312" t="s">
        <v>1465</v>
      </c>
      <c r="EN258" s="268" t="s">
        <v>1466</v>
      </c>
      <c r="EO258" s="380">
        <v>1</v>
      </c>
      <c r="EP258" s="380">
        <v>2</v>
      </c>
      <c r="EQ258" s="270">
        <v>0.6</v>
      </c>
      <c r="ER258" s="270">
        <v>0.8</v>
      </c>
      <c r="ES258" s="270">
        <v>0.6</v>
      </c>
      <c r="ET258" s="820">
        <v>0</v>
      </c>
    </row>
    <row r="259" spans="1:150" ht="38.25" customHeight="1" x14ac:dyDescent="0.2">
      <c r="A259" s="763" t="s">
        <v>103</v>
      </c>
      <c r="B259" s="424" t="s">
        <v>104</v>
      </c>
      <c r="C259" s="425" t="s">
        <v>1452</v>
      </c>
      <c r="D259" s="425"/>
      <c r="E259" s="8" t="s">
        <v>57</v>
      </c>
      <c r="F259" s="643" t="str">
        <f t="shared" si="153"/>
        <v>E4.P_A</v>
      </c>
      <c r="G259" s="405" t="s">
        <v>391</v>
      </c>
      <c r="H259" s="405" t="s">
        <v>542</v>
      </c>
      <c r="I259" s="438"/>
      <c r="J259" s="278" t="s">
        <v>61</v>
      </c>
      <c r="K259" s="279" t="str">
        <f t="shared" si="154"/>
        <v>E4.P_A.MR1</v>
      </c>
      <c r="L259" s="404" t="s">
        <v>518</v>
      </c>
      <c r="M259" s="405" t="s">
        <v>1455</v>
      </c>
      <c r="N259" s="487">
        <v>635</v>
      </c>
      <c r="O259" s="487">
        <v>571</v>
      </c>
      <c r="P259" s="765" t="s">
        <v>112</v>
      </c>
      <c r="Q259" s="764" t="str">
        <f t="shared" si="155"/>
        <v>E4.P_A.MR1-MP04-1</v>
      </c>
      <c r="R259" s="416" t="s">
        <v>1469</v>
      </c>
      <c r="S259" s="308" t="s">
        <v>1470</v>
      </c>
      <c r="T259" s="375">
        <v>2</v>
      </c>
      <c r="U259" s="376">
        <v>2</v>
      </c>
      <c r="V259" s="375" t="s">
        <v>102</v>
      </c>
      <c r="W259" s="309">
        <v>0.5</v>
      </c>
      <c r="X259" s="324">
        <v>0.5</v>
      </c>
      <c r="Y259" s="309">
        <v>0.5</v>
      </c>
      <c r="Z259" s="310">
        <v>0.5</v>
      </c>
      <c r="AA259" s="377"/>
      <c r="AB259" s="378"/>
      <c r="AC259" s="378"/>
      <c r="AD259" s="378"/>
      <c r="AE259" s="378"/>
      <c r="AF259" s="378"/>
      <c r="AG259" s="378"/>
      <c r="AH259" s="378"/>
      <c r="AI259" s="378"/>
      <c r="AJ259" s="378"/>
      <c r="AK259" s="378"/>
      <c r="AL259" s="378"/>
      <c r="AM259" s="378"/>
      <c r="AN259" s="378"/>
      <c r="AO259" s="378"/>
      <c r="AP259" s="378"/>
      <c r="AQ259" s="378"/>
      <c r="AR259" s="378"/>
      <c r="AS259" s="378"/>
      <c r="AT259" s="378"/>
      <c r="AU259" s="378"/>
      <c r="AV259" s="378"/>
      <c r="AW259" s="378"/>
      <c r="AX259" s="378"/>
      <c r="AY259" s="378"/>
      <c r="AZ259" s="378"/>
      <c r="BA259" s="378"/>
      <c r="BB259" s="378"/>
      <c r="BC259" s="379"/>
      <c r="BD259" s="295" t="s">
        <v>1458</v>
      </c>
      <c r="BS259" s="86" t="s">
        <v>517</v>
      </c>
      <c r="BT259" s="86" t="s">
        <v>518</v>
      </c>
      <c r="BU259" s="85" t="s">
        <v>1467</v>
      </c>
      <c r="BV259" s="84" t="s">
        <v>1465</v>
      </c>
      <c r="DH259" s="7" t="s">
        <v>1472</v>
      </c>
      <c r="DI259" s="7" t="s">
        <v>540</v>
      </c>
      <c r="DJ259" s="7" t="s">
        <v>541</v>
      </c>
      <c r="DK259" s="7" t="s">
        <v>542</v>
      </c>
      <c r="DL259" s="7" t="s">
        <v>539</v>
      </c>
      <c r="DQ259" s="7" t="s">
        <v>1467</v>
      </c>
      <c r="DR259" s="7" t="s">
        <v>1465</v>
      </c>
      <c r="EL259" s="828" t="s">
        <v>1471</v>
      </c>
      <c r="EM259" s="312" t="s">
        <v>1469</v>
      </c>
      <c r="EN259" s="268" t="s">
        <v>1470</v>
      </c>
      <c r="EO259" s="380">
        <v>2</v>
      </c>
      <c r="EP259" s="380">
        <v>2</v>
      </c>
      <c r="EQ259" s="270">
        <v>0.5</v>
      </c>
      <c r="ER259" s="270">
        <v>0.5</v>
      </c>
      <c r="ES259" s="270">
        <v>0.5</v>
      </c>
      <c r="ET259" s="823">
        <v>0.5</v>
      </c>
    </row>
    <row r="260" spans="1:150" ht="36.75" customHeight="1" x14ac:dyDescent="0.2">
      <c r="A260" s="763" t="s">
        <v>103</v>
      </c>
      <c r="B260" s="424" t="s">
        <v>104</v>
      </c>
      <c r="C260" s="425" t="s">
        <v>1452</v>
      </c>
      <c r="D260" s="425"/>
      <c r="E260" s="8" t="s">
        <v>57</v>
      </c>
      <c r="F260" s="643" t="str">
        <f t="shared" si="153"/>
        <v>E4.P_A</v>
      </c>
      <c r="G260" s="405" t="s">
        <v>391</v>
      </c>
      <c r="H260" s="405" t="s">
        <v>542</v>
      </c>
      <c r="I260" s="438"/>
      <c r="J260" s="278" t="s">
        <v>61</v>
      </c>
      <c r="K260" s="279" t="str">
        <f t="shared" si="154"/>
        <v>E4.P_A.MR1</v>
      </c>
      <c r="L260" s="404" t="s">
        <v>518</v>
      </c>
      <c r="M260" s="405" t="s">
        <v>1455</v>
      </c>
      <c r="N260" s="487">
        <v>635</v>
      </c>
      <c r="O260" s="487">
        <v>571</v>
      </c>
      <c r="P260" s="765" t="s">
        <v>122</v>
      </c>
      <c r="Q260" s="764" t="str">
        <f t="shared" si="155"/>
        <v>E4.P_A.MR1-MP05-1</v>
      </c>
      <c r="R260" s="416" t="s">
        <v>1473</v>
      </c>
      <c r="S260" s="308" t="s">
        <v>1474</v>
      </c>
      <c r="T260" s="375">
        <v>0</v>
      </c>
      <c r="U260" s="376">
        <v>1</v>
      </c>
      <c r="V260" s="375" t="s">
        <v>67</v>
      </c>
      <c r="W260" s="315">
        <v>0.25</v>
      </c>
      <c r="X260" s="316">
        <v>0.25</v>
      </c>
      <c r="Y260" s="315">
        <v>0.25</v>
      </c>
      <c r="Z260" s="317">
        <v>0.25</v>
      </c>
      <c r="AA260" s="377"/>
      <c r="AB260" s="378"/>
      <c r="AC260" s="378"/>
      <c r="AD260" s="378"/>
      <c r="AE260" s="378"/>
      <c r="AF260" s="378"/>
      <c r="AG260" s="378"/>
      <c r="AH260" s="378"/>
      <c r="AI260" s="378"/>
      <c r="AJ260" s="378"/>
      <c r="AK260" s="378"/>
      <c r="AL260" s="378"/>
      <c r="AM260" s="378"/>
      <c r="AN260" s="378"/>
      <c r="AO260" s="378"/>
      <c r="AP260" s="378"/>
      <c r="AQ260" s="378"/>
      <c r="AR260" s="378"/>
      <c r="AS260" s="378"/>
      <c r="AT260" s="378"/>
      <c r="AU260" s="378"/>
      <c r="AV260" s="378"/>
      <c r="AW260" s="378"/>
      <c r="AX260" s="378"/>
      <c r="AY260" s="378"/>
      <c r="AZ260" s="378"/>
      <c r="BA260" s="378"/>
      <c r="BB260" s="378"/>
      <c r="BC260" s="379"/>
      <c r="BD260" s="295" t="s">
        <v>1458</v>
      </c>
      <c r="BS260" s="86" t="s">
        <v>517</v>
      </c>
      <c r="BT260" s="86" t="s">
        <v>518</v>
      </c>
      <c r="BU260" s="85" t="s">
        <v>1471</v>
      </c>
      <c r="BV260" s="84" t="s">
        <v>1469</v>
      </c>
      <c r="DH260" s="7" t="s">
        <v>1476</v>
      </c>
      <c r="DI260" s="7" t="s">
        <v>540</v>
      </c>
      <c r="DJ260" s="7" t="s">
        <v>541</v>
      </c>
      <c r="DK260" s="7" t="s">
        <v>542</v>
      </c>
      <c r="DL260" s="7" t="s">
        <v>539</v>
      </c>
      <c r="DQ260" s="7" t="s">
        <v>1471</v>
      </c>
      <c r="DR260" s="7" t="s">
        <v>1469</v>
      </c>
      <c r="EL260" s="828" t="s">
        <v>1475</v>
      </c>
      <c r="EM260" s="312" t="s">
        <v>1473</v>
      </c>
      <c r="EN260" s="268" t="s">
        <v>1474</v>
      </c>
      <c r="EO260" s="380">
        <v>0</v>
      </c>
      <c r="EP260" s="380">
        <v>1</v>
      </c>
      <c r="EQ260" s="323">
        <v>0.25</v>
      </c>
      <c r="ER260" s="323">
        <v>0.25</v>
      </c>
      <c r="ES260" s="323">
        <v>0.25</v>
      </c>
      <c r="ET260" s="819">
        <v>0.25</v>
      </c>
    </row>
    <row r="261" spans="1:150" ht="36.75" customHeight="1" x14ac:dyDescent="0.2">
      <c r="A261" s="763" t="s">
        <v>103</v>
      </c>
      <c r="B261" s="424" t="s">
        <v>104</v>
      </c>
      <c r="C261" s="425" t="s">
        <v>1452</v>
      </c>
      <c r="D261" s="425"/>
      <c r="E261" s="8" t="s">
        <v>57</v>
      </c>
      <c r="F261" s="643" t="str">
        <f t="shared" si="153"/>
        <v>E4.P_A</v>
      </c>
      <c r="G261" s="405" t="s">
        <v>391</v>
      </c>
      <c r="H261" s="405" t="s">
        <v>542</v>
      </c>
      <c r="I261" s="438"/>
      <c r="J261" s="278" t="s">
        <v>61</v>
      </c>
      <c r="K261" s="279" t="str">
        <f t="shared" si="154"/>
        <v>E4.P_A.MR1</v>
      </c>
      <c r="L261" s="404" t="s">
        <v>518</v>
      </c>
      <c r="M261" s="405" t="s">
        <v>1455</v>
      </c>
      <c r="N261" s="487">
        <v>635</v>
      </c>
      <c r="O261" s="487">
        <v>571</v>
      </c>
      <c r="P261" s="765" t="s">
        <v>132</v>
      </c>
      <c r="Q261" s="764" t="str">
        <f t="shared" si="155"/>
        <v>E4.P_A.MR1-MP06-1</v>
      </c>
      <c r="R261" s="416" t="s">
        <v>1477</v>
      </c>
      <c r="S261" s="308" t="s">
        <v>1478</v>
      </c>
      <c r="T261" s="375">
        <v>0</v>
      </c>
      <c r="U261" s="376">
        <v>2</v>
      </c>
      <c r="V261" s="375" t="s">
        <v>67</v>
      </c>
      <c r="W261" s="289">
        <v>0</v>
      </c>
      <c r="X261" s="290">
        <v>1</v>
      </c>
      <c r="Y261" s="309">
        <v>0.5</v>
      </c>
      <c r="Z261" s="310">
        <v>0.5</v>
      </c>
      <c r="AA261" s="377"/>
      <c r="AB261" s="378"/>
      <c r="AC261" s="378"/>
      <c r="AD261" s="378"/>
      <c r="AE261" s="378"/>
      <c r="AF261" s="378"/>
      <c r="AG261" s="378"/>
      <c r="AH261" s="378"/>
      <c r="AI261" s="378"/>
      <c r="AJ261" s="378"/>
      <c r="AK261" s="378"/>
      <c r="AL261" s="378"/>
      <c r="AM261" s="378"/>
      <c r="AN261" s="378"/>
      <c r="AO261" s="378"/>
      <c r="AP261" s="378"/>
      <c r="AQ261" s="378"/>
      <c r="AR261" s="378"/>
      <c r="AS261" s="378"/>
      <c r="AT261" s="378"/>
      <c r="AU261" s="378"/>
      <c r="AV261" s="378"/>
      <c r="AW261" s="378"/>
      <c r="AX261" s="378"/>
      <c r="AY261" s="378"/>
      <c r="AZ261" s="378"/>
      <c r="BA261" s="378"/>
      <c r="BB261" s="378"/>
      <c r="BC261" s="379"/>
      <c r="BD261" s="295" t="s">
        <v>1458</v>
      </c>
      <c r="BS261" s="86" t="s">
        <v>517</v>
      </c>
      <c r="BT261" s="86" t="s">
        <v>518</v>
      </c>
      <c r="BU261" s="85" t="s">
        <v>1475</v>
      </c>
      <c r="BV261" s="84" t="s">
        <v>1473</v>
      </c>
      <c r="DH261" s="7" t="s">
        <v>1480</v>
      </c>
      <c r="DI261" s="7" t="s">
        <v>540</v>
      </c>
      <c r="DJ261" s="7" t="s">
        <v>541</v>
      </c>
      <c r="DK261" s="7" t="s">
        <v>542</v>
      </c>
      <c r="DL261" s="7" t="s">
        <v>539</v>
      </c>
      <c r="DQ261" s="7" t="s">
        <v>1475</v>
      </c>
      <c r="DR261" s="7" t="s">
        <v>1473</v>
      </c>
      <c r="EL261" s="828" t="s">
        <v>1479</v>
      </c>
      <c r="EM261" s="312" t="s">
        <v>1477</v>
      </c>
      <c r="EN261" s="268" t="s">
        <v>1478</v>
      </c>
      <c r="EO261" s="380">
        <v>0</v>
      </c>
      <c r="EP261" s="380">
        <v>2</v>
      </c>
      <c r="EQ261" s="269">
        <v>0</v>
      </c>
      <c r="ER261" s="269">
        <v>1</v>
      </c>
      <c r="ES261" s="270">
        <v>0.5</v>
      </c>
      <c r="ET261" s="823">
        <v>0.5</v>
      </c>
    </row>
    <row r="262" spans="1:150" ht="39" customHeight="1" thickBot="1" x14ac:dyDescent="0.25">
      <c r="A262" s="763" t="s">
        <v>103</v>
      </c>
      <c r="B262" s="424" t="s">
        <v>104</v>
      </c>
      <c r="C262" s="425" t="s">
        <v>1452</v>
      </c>
      <c r="D262" s="425"/>
      <c r="E262" s="8" t="s">
        <v>57</v>
      </c>
      <c r="F262" s="643" t="str">
        <f t="shared" si="153"/>
        <v>E4.P_A</v>
      </c>
      <c r="G262" s="405" t="s">
        <v>391</v>
      </c>
      <c r="H262" s="405" t="s">
        <v>542</v>
      </c>
      <c r="I262" s="442"/>
      <c r="J262" s="335" t="s">
        <v>61</v>
      </c>
      <c r="K262" s="395" t="str">
        <f t="shared" si="154"/>
        <v>E4.P_A.MR1</v>
      </c>
      <c r="L262" s="420" t="s">
        <v>518</v>
      </c>
      <c r="M262" s="421" t="s">
        <v>1455</v>
      </c>
      <c r="N262" s="493">
        <v>635</v>
      </c>
      <c r="O262" s="493">
        <v>571</v>
      </c>
      <c r="P262" s="766" t="s">
        <v>142</v>
      </c>
      <c r="Q262" s="767" t="str">
        <f t="shared" si="155"/>
        <v>E4.P_A.MR1-MP07-1</v>
      </c>
      <c r="R262" s="423" t="s">
        <v>1481</v>
      </c>
      <c r="S262" s="344" t="s">
        <v>1482</v>
      </c>
      <c r="T262" s="387">
        <v>9</v>
      </c>
      <c r="U262" s="388">
        <v>11</v>
      </c>
      <c r="V262" s="387" t="s">
        <v>67</v>
      </c>
      <c r="W262" s="389">
        <v>2.75</v>
      </c>
      <c r="X262" s="390">
        <v>2.75</v>
      </c>
      <c r="Y262" s="389">
        <v>2.75</v>
      </c>
      <c r="Z262" s="391">
        <v>2.75</v>
      </c>
      <c r="AA262" s="377"/>
      <c r="AB262" s="378"/>
      <c r="AC262" s="378"/>
      <c r="AD262" s="378"/>
      <c r="AE262" s="378"/>
      <c r="AF262" s="378"/>
      <c r="AG262" s="378"/>
      <c r="AH262" s="378"/>
      <c r="AI262" s="378"/>
      <c r="AJ262" s="378"/>
      <c r="AK262" s="378"/>
      <c r="AL262" s="378"/>
      <c r="AM262" s="378"/>
      <c r="AN262" s="378"/>
      <c r="AO262" s="378"/>
      <c r="AP262" s="378"/>
      <c r="AQ262" s="378"/>
      <c r="AR262" s="378"/>
      <c r="AS262" s="378"/>
      <c r="AT262" s="378"/>
      <c r="AU262" s="378"/>
      <c r="AV262" s="378"/>
      <c r="AW262" s="378"/>
      <c r="AX262" s="378"/>
      <c r="AY262" s="378"/>
      <c r="AZ262" s="378"/>
      <c r="BA262" s="378"/>
      <c r="BB262" s="378"/>
      <c r="BC262" s="379"/>
      <c r="BD262" s="295" t="s">
        <v>1458</v>
      </c>
      <c r="BS262" s="86" t="s">
        <v>517</v>
      </c>
      <c r="BT262" s="86" t="s">
        <v>518</v>
      </c>
      <c r="BU262" s="85" t="s">
        <v>1479</v>
      </c>
      <c r="BV262" s="84" t="s">
        <v>1477</v>
      </c>
      <c r="DH262" s="7" t="s">
        <v>1484</v>
      </c>
      <c r="DI262" s="7" t="s">
        <v>540</v>
      </c>
      <c r="DJ262" s="7" t="s">
        <v>541</v>
      </c>
      <c r="DK262" s="7" t="s">
        <v>542</v>
      </c>
      <c r="DL262" s="7" t="s">
        <v>539</v>
      </c>
      <c r="DQ262" s="7" t="s">
        <v>1479</v>
      </c>
      <c r="DR262" s="7" t="s">
        <v>1477</v>
      </c>
      <c r="EL262" s="828" t="s">
        <v>1483</v>
      </c>
      <c r="EM262" s="312" t="s">
        <v>1481</v>
      </c>
      <c r="EN262" s="268" t="s">
        <v>1482</v>
      </c>
      <c r="EO262" s="380">
        <v>9</v>
      </c>
      <c r="EP262" s="380">
        <v>11</v>
      </c>
      <c r="EQ262" s="323">
        <v>2.75</v>
      </c>
      <c r="ER262" s="323">
        <v>2.75</v>
      </c>
      <c r="ES262" s="323">
        <v>2.75</v>
      </c>
      <c r="ET262" s="819">
        <v>2.75</v>
      </c>
    </row>
    <row r="263" spans="1:150" ht="74.25" customHeight="1" x14ac:dyDescent="0.2">
      <c r="A263" s="763" t="s">
        <v>103</v>
      </c>
      <c r="B263" s="424" t="s">
        <v>104</v>
      </c>
      <c r="C263" s="425" t="s">
        <v>1452</v>
      </c>
      <c r="D263" s="425"/>
      <c r="E263" s="8" t="s">
        <v>57</v>
      </c>
      <c r="F263" s="643" t="str">
        <f t="shared" si="153"/>
        <v>E4.P_A</v>
      </c>
      <c r="G263" s="405" t="s">
        <v>391</v>
      </c>
      <c r="H263" s="405" t="s">
        <v>542</v>
      </c>
      <c r="I263" s="399" t="s">
        <v>1485</v>
      </c>
      <c r="J263" s="430" t="s">
        <v>167</v>
      </c>
      <c r="K263" s="393" t="str">
        <f t="shared" si="154"/>
        <v>E4.P_A.MR2</v>
      </c>
      <c r="L263" s="355" t="s">
        <v>525</v>
      </c>
      <c r="M263" s="356" t="s">
        <v>1486</v>
      </c>
      <c r="N263" s="241">
        <v>277</v>
      </c>
      <c r="O263" s="241">
        <v>249</v>
      </c>
      <c r="P263" s="768" t="s">
        <v>64</v>
      </c>
      <c r="Q263" s="513" t="str">
        <f t="shared" si="155"/>
        <v>E4.P_A.MR2-MP01-1</v>
      </c>
      <c r="R263" s="501" t="s">
        <v>1487</v>
      </c>
      <c r="S263" s="502" t="s">
        <v>1488</v>
      </c>
      <c r="T263" s="363">
        <v>0</v>
      </c>
      <c r="U263" s="364">
        <v>1</v>
      </c>
      <c r="V263" s="363" t="s">
        <v>67</v>
      </c>
      <c r="W263" s="557">
        <v>0.25</v>
      </c>
      <c r="X263" s="558">
        <v>0.25</v>
      </c>
      <c r="Y263" s="557">
        <v>0.25</v>
      </c>
      <c r="Z263" s="559">
        <v>0.25</v>
      </c>
      <c r="AA263" s="292"/>
      <c r="AB263" s="293"/>
      <c r="AC263" s="293"/>
      <c r="AD263" s="293"/>
      <c r="AE263" s="293"/>
      <c r="AF263" s="293"/>
      <c r="AG263" s="293"/>
      <c r="AH263" s="293"/>
      <c r="AI263" s="293"/>
      <c r="AJ263" s="293"/>
      <c r="AK263" s="293"/>
      <c r="AL263" s="293"/>
      <c r="AM263" s="293"/>
      <c r="AN263" s="293"/>
      <c r="AO263" s="293"/>
      <c r="AP263" s="293"/>
      <c r="AQ263" s="293"/>
      <c r="AR263" s="293"/>
      <c r="AS263" s="293"/>
      <c r="AT263" s="293"/>
      <c r="AU263" s="293"/>
      <c r="AV263" s="293"/>
      <c r="AW263" s="293"/>
      <c r="AX263" s="293"/>
      <c r="AY263" s="293"/>
      <c r="AZ263" s="293"/>
      <c r="BA263" s="293"/>
      <c r="BB263" s="293"/>
      <c r="BC263" s="294"/>
      <c r="BD263" s="295" t="s">
        <v>1458</v>
      </c>
      <c r="BS263" s="86" t="s">
        <v>517</v>
      </c>
      <c r="BT263" s="86" t="s">
        <v>518</v>
      </c>
      <c r="BU263" s="85" t="s">
        <v>1483</v>
      </c>
      <c r="BV263" s="84" t="s">
        <v>1481</v>
      </c>
      <c r="DH263" s="7" t="s">
        <v>1490</v>
      </c>
      <c r="DI263" s="7" t="s">
        <v>540</v>
      </c>
      <c r="DJ263" s="7" t="s">
        <v>541</v>
      </c>
      <c r="DK263" s="7" t="s">
        <v>542</v>
      </c>
      <c r="DL263" s="7" t="s">
        <v>539</v>
      </c>
      <c r="DQ263" s="7" t="s">
        <v>1483</v>
      </c>
      <c r="DR263" s="7" t="s">
        <v>1481</v>
      </c>
      <c r="EL263" s="822" t="s">
        <v>1489</v>
      </c>
      <c r="EM263" s="312" t="s">
        <v>1487</v>
      </c>
      <c r="EN263" s="268" t="s">
        <v>1488</v>
      </c>
      <c r="EO263" s="268">
        <v>0</v>
      </c>
      <c r="EP263" s="268">
        <v>1</v>
      </c>
      <c r="EQ263" s="323">
        <v>0.25</v>
      </c>
      <c r="ER263" s="323">
        <v>0.25</v>
      </c>
      <c r="ES263" s="323">
        <v>0.25</v>
      </c>
      <c r="ET263" s="819">
        <v>0.25</v>
      </c>
    </row>
    <row r="264" spans="1:150" ht="54.75" customHeight="1" x14ac:dyDescent="0.2">
      <c r="A264" s="763" t="s">
        <v>103</v>
      </c>
      <c r="B264" s="424" t="s">
        <v>104</v>
      </c>
      <c r="C264" s="425" t="s">
        <v>1452</v>
      </c>
      <c r="D264" s="425"/>
      <c r="E264" s="8" t="s">
        <v>57</v>
      </c>
      <c r="F264" s="643" t="str">
        <f t="shared" si="153"/>
        <v>E4.P_A</v>
      </c>
      <c r="G264" s="405" t="s">
        <v>391</v>
      </c>
      <c r="H264" s="405" t="s">
        <v>542</v>
      </c>
      <c r="I264" s="438"/>
      <c r="J264" s="278" t="s">
        <v>167</v>
      </c>
      <c r="K264" s="279" t="str">
        <f t="shared" si="154"/>
        <v>E4.P_A.MR2</v>
      </c>
      <c r="L264" s="632" t="s">
        <v>525</v>
      </c>
      <c r="M264" s="425" t="s">
        <v>1486</v>
      </c>
      <c r="N264" s="282">
        <v>277</v>
      </c>
      <c r="O264" s="282">
        <v>249</v>
      </c>
      <c r="P264" s="512" t="s">
        <v>87</v>
      </c>
      <c r="Q264" s="522" t="str">
        <f t="shared" si="155"/>
        <v>E4.P_A.MR2-MP02-1</v>
      </c>
      <c r="R264" s="416" t="s">
        <v>1491</v>
      </c>
      <c r="S264" s="308" t="s">
        <v>1492</v>
      </c>
      <c r="T264" s="287">
        <v>1</v>
      </c>
      <c r="U264" s="288">
        <v>1</v>
      </c>
      <c r="V264" s="287" t="s">
        <v>102</v>
      </c>
      <c r="W264" s="315">
        <v>0.25</v>
      </c>
      <c r="X264" s="316">
        <v>0.25</v>
      </c>
      <c r="Y264" s="315">
        <v>0.25</v>
      </c>
      <c r="Z264" s="317">
        <v>0.25</v>
      </c>
      <c r="AA264" s="292"/>
      <c r="AB264" s="293"/>
      <c r="AC264" s="293"/>
      <c r="AD264" s="293"/>
      <c r="AE264" s="293"/>
      <c r="AF264" s="293"/>
      <c r="AG264" s="293"/>
      <c r="AH264" s="293"/>
      <c r="AI264" s="293"/>
      <c r="AJ264" s="293"/>
      <c r="AK264" s="293"/>
      <c r="AL264" s="293"/>
      <c r="AM264" s="293"/>
      <c r="AN264" s="293"/>
      <c r="AO264" s="293"/>
      <c r="AP264" s="293"/>
      <c r="AQ264" s="293"/>
      <c r="AR264" s="293"/>
      <c r="AS264" s="293"/>
      <c r="AT264" s="293"/>
      <c r="AU264" s="293"/>
      <c r="AV264" s="293"/>
      <c r="AW264" s="293"/>
      <c r="AX264" s="293"/>
      <c r="AY264" s="293"/>
      <c r="AZ264" s="293"/>
      <c r="BA264" s="293"/>
      <c r="BB264" s="293"/>
      <c r="BC264" s="294"/>
      <c r="BD264" s="295" t="s">
        <v>1458</v>
      </c>
      <c r="BS264" s="84" t="s">
        <v>524</v>
      </c>
      <c r="BT264" s="84" t="s">
        <v>525</v>
      </c>
      <c r="BU264" s="85" t="s">
        <v>1489</v>
      </c>
      <c r="BV264" s="84" t="s">
        <v>1487</v>
      </c>
      <c r="DH264" s="7" t="s">
        <v>1494</v>
      </c>
      <c r="DI264" s="7" t="s">
        <v>540</v>
      </c>
      <c r="DJ264" s="7" t="s">
        <v>541</v>
      </c>
      <c r="DK264" s="7" t="s">
        <v>542</v>
      </c>
      <c r="DL264" s="7" t="s">
        <v>549</v>
      </c>
      <c r="DQ264" s="7" t="s">
        <v>1489</v>
      </c>
      <c r="DR264" s="7" t="s">
        <v>1487</v>
      </c>
      <c r="EL264" s="822" t="s">
        <v>1493</v>
      </c>
      <c r="EM264" s="312" t="s">
        <v>1491</v>
      </c>
      <c r="EN264" s="268" t="s">
        <v>1492</v>
      </c>
      <c r="EO264" s="268">
        <v>1</v>
      </c>
      <c r="EP264" s="268">
        <v>1</v>
      </c>
      <c r="EQ264" s="323">
        <v>0.25</v>
      </c>
      <c r="ER264" s="323">
        <v>0.25</v>
      </c>
      <c r="ES264" s="323">
        <v>0.25</v>
      </c>
      <c r="ET264" s="819">
        <v>0.25</v>
      </c>
    </row>
    <row r="265" spans="1:150" ht="63" customHeight="1" x14ac:dyDescent="0.2">
      <c r="A265" s="763" t="s">
        <v>103</v>
      </c>
      <c r="B265" s="424" t="s">
        <v>104</v>
      </c>
      <c r="C265" s="425" t="s">
        <v>1452</v>
      </c>
      <c r="D265" s="425"/>
      <c r="E265" s="8" t="s">
        <v>57</v>
      </c>
      <c r="F265" s="643" t="str">
        <f t="shared" si="153"/>
        <v>E4.P_A</v>
      </c>
      <c r="G265" s="405" t="s">
        <v>391</v>
      </c>
      <c r="H265" s="405" t="s">
        <v>542</v>
      </c>
      <c r="I265" s="438"/>
      <c r="J265" s="278" t="s">
        <v>167</v>
      </c>
      <c r="K265" s="279" t="str">
        <f t="shared" si="154"/>
        <v>E4.P_A.MR2</v>
      </c>
      <c r="L265" s="632" t="s">
        <v>525</v>
      </c>
      <c r="M265" s="425" t="s">
        <v>1486</v>
      </c>
      <c r="N265" s="282">
        <v>277</v>
      </c>
      <c r="O265" s="282">
        <v>249</v>
      </c>
      <c r="P265" s="512" t="s">
        <v>99</v>
      </c>
      <c r="Q265" s="522" t="str">
        <f t="shared" si="155"/>
        <v>E4.P_A.MR2-MP03-1</v>
      </c>
      <c r="R265" s="416" t="s">
        <v>1495</v>
      </c>
      <c r="S265" s="308" t="s">
        <v>1496</v>
      </c>
      <c r="T265" s="375">
        <v>1</v>
      </c>
      <c r="U265" s="376">
        <v>1</v>
      </c>
      <c r="V265" s="375" t="s">
        <v>102</v>
      </c>
      <c r="W265" s="289">
        <v>1</v>
      </c>
      <c r="X265" s="290">
        <v>0</v>
      </c>
      <c r="Y265" s="289">
        <v>0</v>
      </c>
      <c r="Z265" s="291">
        <v>0</v>
      </c>
      <c r="AA265" s="377"/>
      <c r="AB265" s="378"/>
      <c r="AC265" s="378"/>
      <c r="AD265" s="378"/>
      <c r="AE265" s="378"/>
      <c r="AF265" s="378"/>
      <c r="AG265" s="378"/>
      <c r="AH265" s="378"/>
      <c r="AI265" s="378"/>
      <c r="AJ265" s="378"/>
      <c r="AK265" s="378"/>
      <c r="AL265" s="378"/>
      <c r="AM265" s="378"/>
      <c r="AN265" s="378"/>
      <c r="AO265" s="378"/>
      <c r="AP265" s="378"/>
      <c r="AQ265" s="378"/>
      <c r="AR265" s="378"/>
      <c r="AS265" s="378"/>
      <c r="AT265" s="378"/>
      <c r="AU265" s="378"/>
      <c r="AV265" s="378"/>
      <c r="AW265" s="378"/>
      <c r="AX265" s="378"/>
      <c r="AY265" s="378"/>
      <c r="AZ265" s="378"/>
      <c r="BA265" s="378"/>
      <c r="BB265" s="378"/>
      <c r="BC265" s="379"/>
      <c r="BD265" s="295" t="s">
        <v>1458</v>
      </c>
      <c r="BS265" s="86" t="s">
        <v>524</v>
      </c>
      <c r="BT265" s="86" t="s">
        <v>525</v>
      </c>
      <c r="BU265" s="85" t="s">
        <v>1493</v>
      </c>
      <c r="BV265" s="84" t="s">
        <v>1491</v>
      </c>
      <c r="DH265" s="7" t="s">
        <v>1498</v>
      </c>
      <c r="DI265" s="7" t="s">
        <v>540</v>
      </c>
      <c r="DJ265" s="7" t="s">
        <v>541</v>
      </c>
      <c r="DK265" s="7" t="s">
        <v>542</v>
      </c>
      <c r="DL265" s="7" t="s">
        <v>549</v>
      </c>
      <c r="DQ265" s="7" t="s">
        <v>1493</v>
      </c>
      <c r="DR265" s="7" t="s">
        <v>1491</v>
      </c>
      <c r="EL265" s="822" t="s">
        <v>1497</v>
      </c>
      <c r="EM265" s="312" t="s">
        <v>1495</v>
      </c>
      <c r="EN265" s="268" t="s">
        <v>1496</v>
      </c>
      <c r="EO265" s="380">
        <v>1</v>
      </c>
      <c r="EP265" s="380">
        <v>1</v>
      </c>
      <c r="EQ265" s="269">
        <v>1</v>
      </c>
      <c r="ER265" s="269">
        <v>0</v>
      </c>
      <c r="ES265" s="269">
        <v>0</v>
      </c>
      <c r="ET265" s="820">
        <v>0</v>
      </c>
    </row>
    <row r="266" spans="1:150" ht="36" customHeight="1" x14ac:dyDescent="0.2">
      <c r="A266" s="763" t="s">
        <v>103</v>
      </c>
      <c r="B266" s="424" t="s">
        <v>104</v>
      </c>
      <c r="C266" s="425" t="s">
        <v>1452</v>
      </c>
      <c r="D266" s="425"/>
      <c r="E266" s="8" t="s">
        <v>57</v>
      </c>
      <c r="F266" s="643" t="str">
        <f t="shared" ref="F266:F304" si="202">+CONCATENATE(A266,E266)</f>
        <v>E4.P_A</v>
      </c>
      <c r="G266" s="405" t="s">
        <v>391</v>
      </c>
      <c r="H266" s="405" t="s">
        <v>542</v>
      </c>
      <c r="I266" s="438"/>
      <c r="J266" s="278" t="s">
        <v>167</v>
      </c>
      <c r="K266" s="279" t="str">
        <f t="shared" ref="K266:K304" si="203">+CONCATENATE(F266,".",J266)</f>
        <v>E4.P_A.MR2</v>
      </c>
      <c r="L266" s="632" t="s">
        <v>525</v>
      </c>
      <c r="M266" s="425" t="s">
        <v>1486</v>
      </c>
      <c r="N266" s="282">
        <v>277</v>
      </c>
      <c r="O266" s="282">
        <v>249</v>
      </c>
      <c r="P266" s="512" t="s">
        <v>112</v>
      </c>
      <c r="Q266" s="522" t="str">
        <f t="shared" ref="Q266:Q304" si="204">+CONCATENATE(K266,"-",P266)</f>
        <v>E4.P_A.MR2-MP04-1</v>
      </c>
      <c r="R266" s="416" t="s">
        <v>1499</v>
      </c>
      <c r="S266" s="308" t="s">
        <v>1500</v>
      </c>
      <c r="T266" s="375">
        <v>1</v>
      </c>
      <c r="U266" s="376">
        <v>1</v>
      </c>
      <c r="V266" s="375" t="s">
        <v>102</v>
      </c>
      <c r="W266" s="289">
        <v>0</v>
      </c>
      <c r="X266" s="290">
        <v>1</v>
      </c>
      <c r="Y266" s="289">
        <v>0</v>
      </c>
      <c r="Z266" s="291">
        <v>0</v>
      </c>
      <c r="AA266" s="377"/>
      <c r="AB266" s="378"/>
      <c r="AC266" s="378"/>
      <c r="AD266" s="378"/>
      <c r="AE266" s="378"/>
      <c r="AF266" s="378"/>
      <c r="AG266" s="378"/>
      <c r="AH266" s="378"/>
      <c r="AI266" s="378"/>
      <c r="AJ266" s="378"/>
      <c r="AK266" s="378"/>
      <c r="AL266" s="378"/>
      <c r="AM266" s="378"/>
      <c r="AN266" s="378"/>
      <c r="AO266" s="378"/>
      <c r="AP266" s="378"/>
      <c r="AQ266" s="378"/>
      <c r="AR266" s="378"/>
      <c r="AS266" s="378"/>
      <c r="AT266" s="378"/>
      <c r="AU266" s="378"/>
      <c r="AV266" s="378"/>
      <c r="AW266" s="378"/>
      <c r="AX266" s="378"/>
      <c r="AY266" s="378"/>
      <c r="AZ266" s="378"/>
      <c r="BA266" s="378"/>
      <c r="BB266" s="378"/>
      <c r="BC266" s="379"/>
      <c r="BD266" s="295" t="s">
        <v>1458</v>
      </c>
      <c r="BS266" s="86" t="s">
        <v>524</v>
      </c>
      <c r="BT266" s="86" t="s">
        <v>525</v>
      </c>
      <c r="BU266" s="85" t="s">
        <v>1497</v>
      </c>
      <c r="BV266" s="84" t="s">
        <v>1495</v>
      </c>
      <c r="DH266" s="7" t="s">
        <v>1502</v>
      </c>
      <c r="DI266" s="7" t="s">
        <v>540</v>
      </c>
      <c r="DJ266" s="7" t="s">
        <v>541</v>
      </c>
      <c r="DK266" s="7" t="s">
        <v>542</v>
      </c>
      <c r="DL266" s="7" t="s">
        <v>549</v>
      </c>
      <c r="DQ266" s="7" t="s">
        <v>1497</v>
      </c>
      <c r="DR266" s="7" t="s">
        <v>1495</v>
      </c>
      <c r="EL266" s="822" t="s">
        <v>1501</v>
      </c>
      <c r="EM266" s="312" t="s">
        <v>1499</v>
      </c>
      <c r="EN266" s="268" t="s">
        <v>1500</v>
      </c>
      <c r="EO266" s="380">
        <v>1</v>
      </c>
      <c r="EP266" s="380">
        <v>1</v>
      </c>
      <c r="EQ266" s="269">
        <v>0</v>
      </c>
      <c r="ER266" s="269">
        <v>1</v>
      </c>
      <c r="ES266" s="269">
        <v>0</v>
      </c>
      <c r="ET266" s="820">
        <v>0</v>
      </c>
    </row>
    <row r="267" spans="1:150" ht="39" customHeight="1" x14ac:dyDescent="0.2">
      <c r="A267" s="763" t="s">
        <v>103</v>
      </c>
      <c r="B267" s="424" t="s">
        <v>104</v>
      </c>
      <c r="C267" s="425" t="s">
        <v>1452</v>
      </c>
      <c r="D267" s="425"/>
      <c r="E267" s="8" t="s">
        <v>57</v>
      </c>
      <c r="F267" s="643" t="str">
        <f t="shared" si="202"/>
        <v>E4.P_A</v>
      </c>
      <c r="G267" s="405" t="s">
        <v>391</v>
      </c>
      <c r="H267" s="405" t="s">
        <v>542</v>
      </c>
      <c r="I267" s="438"/>
      <c r="J267" s="278" t="s">
        <v>167</v>
      </c>
      <c r="K267" s="279" t="str">
        <f t="shared" si="203"/>
        <v>E4.P_A.MR2</v>
      </c>
      <c r="L267" s="632" t="s">
        <v>525</v>
      </c>
      <c r="M267" s="425" t="s">
        <v>1486</v>
      </c>
      <c r="N267" s="282">
        <v>277</v>
      </c>
      <c r="O267" s="282">
        <v>249</v>
      </c>
      <c r="P267" s="512" t="s">
        <v>122</v>
      </c>
      <c r="Q267" s="522" t="str">
        <f t="shared" si="204"/>
        <v>E4.P_A.MR2-MP05-1</v>
      </c>
      <c r="R267" s="416" t="s">
        <v>1503</v>
      </c>
      <c r="S267" s="308" t="s">
        <v>1504</v>
      </c>
      <c r="T267" s="375">
        <v>0</v>
      </c>
      <c r="U267" s="376">
        <v>1</v>
      </c>
      <c r="V267" s="375" t="s">
        <v>67</v>
      </c>
      <c r="W267" s="289">
        <v>0</v>
      </c>
      <c r="X267" s="290">
        <v>0</v>
      </c>
      <c r="Y267" s="309">
        <v>0.5</v>
      </c>
      <c r="Z267" s="310">
        <v>0.5</v>
      </c>
      <c r="AA267" s="377"/>
      <c r="AB267" s="378"/>
      <c r="AC267" s="378"/>
      <c r="AD267" s="378"/>
      <c r="AE267" s="378"/>
      <c r="AF267" s="378"/>
      <c r="AG267" s="378"/>
      <c r="AH267" s="378"/>
      <c r="AI267" s="378"/>
      <c r="AJ267" s="378"/>
      <c r="AK267" s="378"/>
      <c r="AL267" s="378"/>
      <c r="AM267" s="378"/>
      <c r="AN267" s="378"/>
      <c r="AO267" s="378"/>
      <c r="AP267" s="378"/>
      <c r="AQ267" s="378"/>
      <c r="AR267" s="378"/>
      <c r="AS267" s="378"/>
      <c r="AT267" s="378"/>
      <c r="AU267" s="378"/>
      <c r="AV267" s="378"/>
      <c r="AW267" s="378"/>
      <c r="AX267" s="378"/>
      <c r="AY267" s="378"/>
      <c r="AZ267" s="378"/>
      <c r="BA267" s="378"/>
      <c r="BB267" s="378"/>
      <c r="BC267" s="379"/>
      <c r="BD267" s="295" t="s">
        <v>1458</v>
      </c>
      <c r="BS267" s="86" t="s">
        <v>524</v>
      </c>
      <c r="BT267" s="86" t="s">
        <v>525</v>
      </c>
      <c r="BU267" s="85" t="s">
        <v>1501</v>
      </c>
      <c r="BV267" s="84" t="s">
        <v>1499</v>
      </c>
      <c r="DH267" s="7" t="s">
        <v>1506</v>
      </c>
      <c r="DI267" s="7" t="s">
        <v>540</v>
      </c>
      <c r="DJ267" s="7" t="s">
        <v>541</v>
      </c>
      <c r="DK267" s="7" t="s">
        <v>542</v>
      </c>
      <c r="DL267" s="7" t="s">
        <v>549</v>
      </c>
      <c r="DQ267" s="7" t="s">
        <v>1501</v>
      </c>
      <c r="DR267" s="7" t="s">
        <v>1499</v>
      </c>
      <c r="EL267" s="822" t="s">
        <v>1505</v>
      </c>
      <c r="EM267" s="312" t="s">
        <v>1503</v>
      </c>
      <c r="EN267" s="268" t="s">
        <v>1504</v>
      </c>
      <c r="EO267" s="380">
        <v>0</v>
      </c>
      <c r="EP267" s="380">
        <v>1</v>
      </c>
      <c r="EQ267" s="269">
        <v>0</v>
      </c>
      <c r="ER267" s="269">
        <v>0</v>
      </c>
      <c r="ES267" s="270">
        <v>0.5</v>
      </c>
      <c r="ET267" s="823">
        <v>0.5</v>
      </c>
    </row>
    <row r="268" spans="1:150" ht="40.5" customHeight="1" thickBot="1" x14ac:dyDescent="0.25">
      <c r="A268" s="763" t="s">
        <v>103</v>
      </c>
      <c r="B268" s="424" t="s">
        <v>104</v>
      </c>
      <c r="C268" s="425" t="s">
        <v>1452</v>
      </c>
      <c r="D268" s="425"/>
      <c r="E268" s="8" t="s">
        <v>57</v>
      </c>
      <c r="F268" s="643" t="str">
        <f t="shared" si="202"/>
        <v>E4.P_A</v>
      </c>
      <c r="G268" s="405" t="s">
        <v>391</v>
      </c>
      <c r="H268" s="405" t="s">
        <v>542</v>
      </c>
      <c r="I268" s="442"/>
      <c r="J268" s="335" t="s">
        <v>167</v>
      </c>
      <c r="K268" s="395" t="str">
        <f t="shared" si="203"/>
        <v>E4.P_A.MR2</v>
      </c>
      <c r="L268" s="633" t="s">
        <v>525</v>
      </c>
      <c r="M268" s="593" t="s">
        <v>1486</v>
      </c>
      <c r="N268" s="422">
        <v>277</v>
      </c>
      <c r="O268" s="422">
        <v>249</v>
      </c>
      <c r="P268" s="769" t="s">
        <v>132</v>
      </c>
      <c r="Q268" s="545" t="str">
        <f t="shared" si="204"/>
        <v>E4.P_A.MR2-MP06-1</v>
      </c>
      <c r="R268" s="471" t="s">
        <v>1507</v>
      </c>
      <c r="S268" s="331" t="s">
        <v>1508</v>
      </c>
      <c r="T268" s="387">
        <v>0</v>
      </c>
      <c r="U268" s="388">
        <v>1</v>
      </c>
      <c r="V268" s="387" t="s">
        <v>67</v>
      </c>
      <c r="W268" s="397">
        <v>0.3</v>
      </c>
      <c r="X268" s="616">
        <v>0</v>
      </c>
      <c r="Y268" s="397">
        <v>0.3</v>
      </c>
      <c r="Z268" s="398">
        <v>0.4</v>
      </c>
      <c r="AA268" s="377"/>
      <c r="AB268" s="378"/>
      <c r="AC268" s="378"/>
      <c r="AD268" s="378"/>
      <c r="AE268" s="378"/>
      <c r="AF268" s="378"/>
      <c r="AG268" s="378"/>
      <c r="AH268" s="378"/>
      <c r="AI268" s="378"/>
      <c r="AJ268" s="378"/>
      <c r="AK268" s="378"/>
      <c r="AL268" s="378"/>
      <c r="AM268" s="378"/>
      <c r="AN268" s="378"/>
      <c r="AO268" s="378"/>
      <c r="AP268" s="378"/>
      <c r="AQ268" s="378"/>
      <c r="AR268" s="378"/>
      <c r="AS268" s="378"/>
      <c r="AT268" s="378"/>
      <c r="AU268" s="378"/>
      <c r="AV268" s="378"/>
      <c r="AW268" s="378"/>
      <c r="AX268" s="378"/>
      <c r="AY268" s="378"/>
      <c r="AZ268" s="378"/>
      <c r="BA268" s="378"/>
      <c r="BB268" s="378"/>
      <c r="BC268" s="379"/>
      <c r="BD268" s="295" t="s">
        <v>1458</v>
      </c>
      <c r="BS268" s="86" t="s">
        <v>524</v>
      </c>
      <c r="BT268" s="86" t="s">
        <v>525</v>
      </c>
      <c r="BU268" s="85" t="s">
        <v>1505</v>
      </c>
      <c r="BV268" s="84" t="s">
        <v>1503</v>
      </c>
      <c r="DH268" s="7" t="s">
        <v>1510</v>
      </c>
      <c r="DI268" s="7" t="s">
        <v>540</v>
      </c>
      <c r="DJ268" s="7" t="s">
        <v>541</v>
      </c>
      <c r="DK268" s="7" t="s">
        <v>542</v>
      </c>
      <c r="DL268" s="7" t="s">
        <v>549</v>
      </c>
      <c r="DQ268" s="7" t="s">
        <v>1505</v>
      </c>
      <c r="DR268" s="7" t="s">
        <v>1503</v>
      </c>
      <c r="EL268" s="822" t="s">
        <v>1509</v>
      </c>
      <c r="EM268" s="312" t="s">
        <v>1507</v>
      </c>
      <c r="EN268" s="268" t="s">
        <v>1508</v>
      </c>
      <c r="EO268" s="380">
        <v>0</v>
      </c>
      <c r="EP268" s="380">
        <v>1</v>
      </c>
      <c r="EQ268" s="270">
        <v>0.3</v>
      </c>
      <c r="ER268" s="270">
        <v>0</v>
      </c>
      <c r="ES268" s="270">
        <v>0.3</v>
      </c>
      <c r="ET268" s="823">
        <v>0.4</v>
      </c>
    </row>
    <row r="269" spans="1:150" ht="98.25" customHeight="1" x14ac:dyDescent="0.2">
      <c r="A269" s="763" t="s">
        <v>103</v>
      </c>
      <c r="B269" s="424" t="s">
        <v>104</v>
      </c>
      <c r="C269" s="425" t="s">
        <v>1452</v>
      </c>
      <c r="D269" s="425"/>
      <c r="E269" s="8" t="s">
        <v>57</v>
      </c>
      <c r="F269" s="643" t="str">
        <f t="shared" si="202"/>
        <v>E4.P_A</v>
      </c>
      <c r="G269" s="281" t="s">
        <v>391</v>
      </c>
      <c r="H269" s="281" t="s">
        <v>542</v>
      </c>
      <c r="I269" s="770" t="s">
        <v>1511</v>
      </c>
      <c r="J269" s="430" t="s">
        <v>212</v>
      </c>
      <c r="K269" s="393" t="str">
        <f t="shared" si="203"/>
        <v>E4.P_A.MR3</v>
      </c>
      <c r="L269" s="355" t="s">
        <v>537</v>
      </c>
      <c r="M269" s="356" t="s">
        <v>1512</v>
      </c>
      <c r="N269" s="771">
        <v>4.9000000000000002E-2</v>
      </c>
      <c r="O269" s="401">
        <v>0.05</v>
      </c>
      <c r="P269" s="705" t="s">
        <v>64</v>
      </c>
      <c r="Q269" s="706" t="str">
        <f t="shared" si="204"/>
        <v>E4.P_A.MR3-MP01-1</v>
      </c>
      <c r="R269" s="412" t="s">
        <v>1513</v>
      </c>
      <c r="S269" s="362" t="s">
        <v>1488</v>
      </c>
      <c r="T269" s="612">
        <v>0</v>
      </c>
      <c r="U269" s="613">
        <v>1</v>
      </c>
      <c r="V269" s="612" t="s">
        <v>67</v>
      </c>
      <c r="W269" s="772">
        <v>0.25</v>
      </c>
      <c r="X269" s="773">
        <v>0.25</v>
      </c>
      <c r="Y269" s="772">
        <v>0.25</v>
      </c>
      <c r="Z269" s="774">
        <v>0.25</v>
      </c>
      <c r="AA269" s="292"/>
      <c r="AB269" s="293"/>
      <c r="AC269" s="293"/>
      <c r="AD269" s="293"/>
      <c r="AE269" s="293"/>
      <c r="AF269" s="293"/>
      <c r="AG269" s="293"/>
      <c r="AH269" s="293"/>
      <c r="AI269" s="293"/>
      <c r="AJ269" s="293"/>
      <c r="AK269" s="293"/>
      <c r="AL269" s="293"/>
      <c r="AM269" s="293"/>
      <c r="AN269" s="293"/>
      <c r="AO269" s="293"/>
      <c r="AP269" s="293"/>
      <c r="AQ269" s="293"/>
      <c r="AR269" s="293"/>
      <c r="AS269" s="293"/>
      <c r="AT269" s="293"/>
      <c r="AU269" s="293"/>
      <c r="AV269" s="293"/>
      <c r="AW269" s="293"/>
      <c r="AX269" s="293"/>
      <c r="AY269" s="293"/>
      <c r="AZ269" s="293"/>
      <c r="BA269" s="293"/>
      <c r="BB269" s="293"/>
      <c r="BC269" s="294"/>
      <c r="BD269" s="295" t="s">
        <v>1458</v>
      </c>
      <c r="BS269" s="86" t="s">
        <v>524</v>
      </c>
      <c r="BT269" s="86" t="s">
        <v>525</v>
      </c>
      <c r="BU269" s="85" t="s">
        <v>1509</v>
      </c>
      <c r="BV269" s="84" t="s">
        <v>1507</v>
      </c>
      <c r="DH269" s="7" t="s">
        <v>1515</v>
      </c>
      <c r="DI269" s="7" t="s">
        <v>540</v>
      </c>
      <c r="DJ269" s="7" t="s">
        <v>541</v>
      </c>
      <c r="DK269" s="7" t="s">
        <v>542</v>
      </c>
      <c r="DL269" s="7" t="s">
        <v>549</v>
      </c>
      <c r="DQ269" s="7" t="s">
        <v>1509</v>
      </c>
      <c r="DR269" s="7" t="s">
        <v>1507</v>
      </c>
      <c r="EL269" s="816" t="s">
        <v>1514</v>
      </c>
      <c r="EM269" s="312" t="s">
        <v>1513</v>
      </c>
      <c r="EN269" s="268" t="s">
        <v>1488</v>
      </c>
      <c r="EO269" s="268">
        <v>0</v>
      </c>
      <c r="EP269" s="268">
        <v>1</v>
      </c>
      <c r="EQ269" s="323">
        <v>0.25</v>
      </c>
      <c r="ER269" s="323">
        <v>0.25</v>
      </c>
      <c r="ES269" s="323">
        <v>0.25</v>
      </c>
      <c r="ET269" s="819">
        <v>0.25</v>
      </c>
    </row>
    <row r="270" spans="1:150" ht="35.25" customHeight="1" x14ac:dyDescent="0.2">
      <c r="A270" s="763" t="s">
        <v>103</v>
      </c>
      <c r="B270" s="424" t="s">
        <v>104</v>
      </c>
      <c r="C270" s="425" t="s">
        <v>1452</v>
      </c>
      <c r="D270" s="425"/>
      <c r="E270" s="8" t="s">
        <v>57</v>
      </c>
      <c r="F270" s="643" t="str">
        <f t="shared" si="202"/>
        <v>E4.P_A</v>
      </c>
      <c r="G270" s="281" t="s">
        <v>391</v>
      </c>
      <c r="H270" s="281" t="s">
        <v>542</v>
      </c>
      <c r="I270" s="438"/>
      <c r="J270" s="278" t="s">
        <v>212</v>
      </c>
      <c r="K270" s="279" t="str">
        <f t="shared" si="203"/>
        <v>E4.P_A.MR3</v>
      </c>
      <c r="L270" s="404" t="s">
        <v>537</v>
      </c>
      <c r="M270" s="405" t="s">
        <v>1512</v>
      </c>
      <c r="N270" s="775">
        <v>4.9000000000000002E-2</v>
      </c>
      <c r="O270" s="282">
        <v>0.05</v>
      </c>
      <c r="P270" s="512" t="s">
        <v>87</v>
      </c>
      <c r="Q270" s="522" t="str">
        <f t="shared" si="204"/>
        <v>E4.P_A.MR3-MP02-1</v>
      </c>
      <c r="R270" s="416" t="s">
        <v>1516</v>
      </c>
      <c r="S270" s="308" t="s">
        <v>1517</v>
      </c>
      <c r="T270" s="287">
        <v>5</v>
      </c>
      <c r="U270" s="288">
        <v>10</v>
      </c>
      <c r="V270" s="287" t="s">
        <v>67</v>
      </c>
      <c r="W270" s="289">
        <v>0</v>
      </c>
      <c r="X270" s="290">
        <v>5</v>
      </c>
      <c r="Y270" s="289">
        <v>0</v>
      </c>
      <c r="Z270" s="291">
        <v>5</v>
      </c>
      <c r="AA270" s="292"/>
      <c r="AB270" s="293"/>
      <c r="AC270" s="293"/>
      <c r="AD270" s="293"/>
      <c r="AE270" s="293"/>
      <c r="AF270" s="293"/>
      <c r="AG270" s="293"/>
      <c r="AH270" s="293"/>
      <c r="AI270" s="293"/>
      <c r="AJ270" s="293"/>
      <c r="AK270" s="293"/>
      <c r="AL270" s="293"/>
      <c r="AM270" s="293"/>
      <c r="AN270" s="293"/>
      <c r="AO270" s="293"/>
      <c r="AP270" s="293"/>
      <c r="AQ270" s="293"/>
      <c r="AR270" s="293"/>
      <c r="AS270" s="293"/>
      <c r="AT270" s="293"/>
      <c r="AU270" s="293"/>
      <c r="AV270" s="293"/>
      <c r="AW270" s="293"/>
      <c r="AX270" s="293"/>
      <c r="AY270" s="293"/>
      <c r="AZ270" s="293"/>
      <c r="BA270" s="293"/>
      <c r="BB270" s="293"/>
      <c r="BC270" s="294"/>
      <c r="BD270" s="295" t="s">
        <v>1458</v>
      </c>
      <c r="BS270" s="84" t="s">
        <v>536</v>
      </c>
      <c r="BT270" s="84" t="s">
        <v>537</v>
      </c>
      <c r="BU270" s="85" t="s">
        <v>1514</v>
      </c>
      <c r="BV270" s="84" t="s">
        <v>1513</v>
      </c>
      <c r="DH270" s="7" t="s">
        <v>1519</v>
      </c>
      <c r="DI270" s="7" t="s">
        <v>540</v>
      </c>
      <c r="DJ270" s="7" t="s">
        <v>541</v>
      </c>
      <c r="DK270" s="7" t="s">
        <v>542</v>
      </c>
      <c r="DL270" s="7" t="s">
        <v>556</v>
      </c>
      <c r="DQ270" s="7" t="s">
        <v>1514</v>
      </c>
      <c r="DR270" s="7" t="s">
        <v>1513</v>
      </c>
      <c r="EL270" s="822" t="s">
        <v>1518</v>
      </c>
      <c r="EM270" s="312" t="s">
        <v>1516</v>
      </c>
      <c r="EN270" s="268" t="s">
        <v>1517</v>
      </c>
      <c r="EO270" s="268">
        <v>5</v>
      </c>
      <c r="EP270" s="268">
        <v>10</v>
      </c>
      <c r="EQ270" s="269">
        <v>0</v>
      </c>
      <c r="ER270" s="269">
        <v>5</v>
      </c>
      <c r="ES270" s="808">
        <v>3</v>
      </c>
      <c r="ET270" s="824">
        <v>2</v>
      </c>
    </row>
    <row r="271" spans="1:150" ht="39" customHeight="1" thickBot="1" x14ac:dyDescent="0.25">
      <c r="A271" s="763" t="s">
        <v>103</v>
      </c>
      <c r="B271" s="424" t="s">
        <v>104</v>
      </c>
      <c r="C271" s="425" t="s">
        <v>1452</v>
      </c>
      <c r="D271" s="425"/>
      <c r="E271" s="8" t="s">
        <v>57</v>
      </c>
      <c r="F271" s="643" t="str">
        <f t="shared" si="202"/>
        <v>E4.P_A</v>
      </c>
      <c r="G271" s="281" t="s">
        <v>391</v>
      </c>
      <c r="H271" s="281" t="s">
        <v>542</v>
      </c>
      <c r="I271" s="442"/>
      <c r="J271" s="335" t="s">
        <v>212</v>
      </c>
      <c r="K271" s="395" t="str">
        <f t="shared" si="203"/>
        <v>E4.P_A.MR3</v>
      </c>
      <c r="L271" s="420" t="s">
        <v>537</v>
      </c>
      <c r="M271" s="421" t="s">
        <v>1512</v>
      </c>
      <c r="N271" s="776">
        <v>4.9000000000000002E-2</v>
      </c>
      <c r="O271" s="422">
        <v>0.05</v>
      </c>
      <c r="P271" s="769" t="s">
        <v>99</v>
      </c>
      <c r="Q271" s="545" t="str">
        <f t="shared" si="204"/>
        <v>E4.P_A.MR3-MP03-1</v>
      </c>
      <c r="R271" s="471" t="s">
        <v>1520</v>
      </c>
      <c r="S271" s="331" t="s">
        <v>1521</v>
      </c>
      <c r="T271" s="332">
        <v>1</v>
      </c>
      <c r="U271" s="333">
        <v>2</v>
      </c>
      <c r="V271" s="287" t="s">
        <v>67</v>
      </c>
      <c r="W271" s="309">
        <v>0.3</v>
      </c>
      <c r="X271" s="324">
        <v>0.3</v>
      </c>
      <c r="Y271" s="309">
        <v>1.1000000000000001</v>
      </c>
      <c r="Z271" s="310">
        <v>0.3</v>
      </c>
      <c r="AA271" s="292"/>
      <c r="AB271" s="293"/>
      <c r="AC271" s="293"/>
      <c r="AD271" s="293"/>
      <c r="AE271" s="293"/>
      <c r="AF271" s="293"/>
      <c r="AG271" s="293"/>
      <c r="AH271" s="293"/>
      <c r="AI271" s="293"/>
      <c r="AJ271" s="293"/>
      <c r="AK271" s="293"/>
      <c r="AL271" s="293"/>
      <c r="AM271" s="293"/>
      <c r="AN271" s="293"/>
      <c r="AO271" s="293"/>
      <c r="AP271" s="293"/>
      <c r="AQ271" s="293"/>
      <c r="AR271" s="293"/>
      <c r="AS271" s="293"/>
      <c r="AT271" s="293"/>
      <c r="AU271" s="293"/>
      <c r="AV271" s="293"/>
      <c r="AW271" s="293"/>
      <c r="AX271" s="293"/>
      <c r="AY271" s="293"/>
      <c r="AZ271" s="293"/>
      <c r="BA271" s="293"/>
      <c r="BB271" s="293"/>
      <c r="BC271" s="294"/>
      <c r="BD271" s="295" t="s">
        <v>1458</v>
      </c>
      <c r="BS271" s="86" t="s">
        <v>536</v>
      </c>
      <c r="BT271" s="86" t="s">
        <v>537</v>
      </c>
      <c r="BU271" s="85" t="s">
        <v>1518</v>
      </c>
      <c r="BV271" s="84" t="s">
        <v>1516</v>
      </c>
      <c r="DH271" s="7" t="s">
        <v>1523</v>
      </c>
      <c r="DI271" s="7" t="s">
        <v>540</v>
      </c>
      <c r="DJ271" s="7" t="s">
        <v>541</v>
      </c>
      <c r="DK271" s="7" t="s">
        <v>542</v>
      </c>
      <c r="DL271" s="7" t="s">
        <v>556</v>
      </c>
      <c r="DQ271" s="7" t="s">
        <v>1518</v>
      </c>
      <c r="DR271" s="7" t="s">
        <v>1516</v>
      </c>
      <c r="EL271" s="822" t="s">
        <v>1522</v>
      </c>
      <c r="EM271" s="312" t="s">
        <v>1520</v>
      </c>
      <c r="EN271" s="268" t="s">
        <v>1521</v>
      </c>
      <c r="EO271" s="268">
        <v>1</v>
      </c>
      <c r="EP271" s="268">
        <v>2</v>
      </c>
      <c r="EQ271" s="270">
        <v>0.3</v>
      </c>
      <c r="ER271" s="270">
        <v>0.3</v>
      </c>
      <c r="ES271" s="270">
        <v>1.1000000000000001</v>
      </c>
      <c r="ET271" s="823">
        <v>0.3</v>
      </c>
    </row>
    <row r="272" spans="1:150" ht="147" customHeight="1" x14ac:dyDescent="0.2">
      <c r="A272" s="763" t="s">
        <v>103</v>
      </c>
      <c r="B272" s="424" t="s">
        <v>104</v>
      </c>
      <c r="C272" s="425" t="s">
        <v>1452</v>
      </c>
      <c r="D272" s="425"/>
      <c r="E272" s="8" t="s">
        <v>57</v>
      </c>
      <c r="F272" s="643" t="str">
        <f t="shared" si="202"/>
        <v>E4.P_A</v>
      </c>
      <c r="G272" s="405" t="s">
        <v>391</v>
      </c>
      <c r="H272" s="405" t="s">
        <v>542</v>
      </c>
      <c r="I272" s="399" t="s">
        <v>1524</v>
      </c>
      <c r="J272" s="430" t="s">
        <v>268</v>
      </c>
      <c r="K272" s="393" t="str">
        <f t="shared" si="203"/>
        <v>E4.P_A.MR4</v>
      </c>
      <c r="L272" s="355" t="s">
        <v>547</v>
      </c>
      <c r="M272" s="356" t="s">
        <v>1525</v>
      </c>
      <c r="N272" s="750">
        <v>7357</v>
      </c>
      <c r="O272" s="475">
        <v>11035</v>
      </c>
      <c r="P272" s="777" t="s">
        <v>64</v>
      </c>
      <c r="Q272" s="762" t="str">
        <f t="shared" si="204"/>
        <v>E4.P_A.MR4-MP01-1</v>
      </c>
      <c r="R272" s="416" t="s">
        <v>1526</v>
      </c>
      <c r="S272" s="308" t="s">
        <v>1527</v>
      </c>
      <c r="T272" s="287">
        <v>0</v>
      </c>
      <c r="U272" s="288">
        <v>1</v>
      </c>
      <c r="V272" s="287" t="s">
        <v>67</v>
      </c>
      <c r="W272" s="315">
        <v>0.25</v>
      </c>
      <c r="X272" s="316">
        <v>0.25</v>
      </c>
      <c r="Y272" s="315">
        <v>0.25</v>
      </c>
      <c r="Z272" s="317">
        <v>0.25</v>
      </c>
      <c r="AA272" s="292"/>
      <c r="AB272" s="293"/>
      <c r="AC272" s="293"/>
      <c r="AD272" s="293"/>
      <c r="AE272" s="293"/>
      <c r="AF272" s="293"/>
      <c r="AG272" s="293"/>
      <c r="AH272" s="293"/>
      <c r="AI272" s="293"/>
      <c r="AJ272" s="293"/>
      <c r="AK272" s="293"/>
      <c r="AL272" s="293"/>
      <c r="AM272" s="293"/>
      <c r="AN272" s="293"/>
      <c r="AO272" s="293"/>
      <c r="AP272" s="293"/>
      <c r="AQ272" s="293"/>
      <c r="AR272" s="293"/>
      <c r="AS272" s="293"/>
      <c r="AT272" s="293"/>
      <c r="AU272" s="293"/>
      <c r="AV272" s="293"/>
      <c r="AW272" s="293"/>
      <c r="AX272" s="293"/>
      <c r="AY272" s="293"/>
      <c r="AZ272" s="293"/>
      <c r="BA272" s="293"/>
      <c r="BB272" s="293"/>
      <c r="BC272" s="294"/>
      <c r="BD272" s="295" t="s">
        <v>1458</v>
      </c>
      <c r="BS272" s="86" t="s">
        <v>536</v>
      </c>
      <c r="BT272" s="86" t="s">
        <v>537</v>
      </c>
      <c r="BU272" s="85" t="s">
        <v>1522</v>
      </c>
      <c r="BV272" s="84" t="s">
        <v>1520</v>
      </c>
      <c r="DH272" s="7" t="s">
        <v>1529</v>
      </c>
      <c r="DI272" s="7" t="s">
        <v>540</v>
      </c>
      <c r="DJ272" s="7" t="s">
        <v>541</v>
      </c>
      <c r="DK272" s="7" t="s">
        <v>542</v>
      </c>
      <c r="DL272" s="7" t="s">
        <v>556</v>
      </c>
      <c r="DQ272" s="7" t="s">
        <v>1522</v>
      </c>
      <c r="DR272" s="7" t="s">
        <v>1520</v>
      </c>
      <c r="EL272" s="828" t="s">
        <v>1528</v>
      </c>
      <c r="EM272" s="312" t="s">
        <v>1526</v>
      </c>
      <c r="EN272" s="268" t="s">
        <v>1527</v>
      </c>
      <c r="EO272" s="268">
        <v>0</v>
      </c>
      <c r="EP272" s="268">
        <v>1</v>
      </c>
      <c r="EQ272" s="323">
        <v>0.25</v>
      </c>
      <c r="ER272" s="323">
        <v>0.25</v>
      </c>
      <c r="ES272" s="323">
        <v>0.25</v>
      </c>
      <c r="ET272" s="819">
        <v>0.25</v>
      </c>
    </row>
    <row r="273" spans="1:150" ht="39" customHeight="1" x14ac:dyDescent="0.2">
      <c r="A273" s="763" t="s">
        <v>103</v>
      </c>
      <c r="B273" s="424" t="s">
        <v>104</v>
      </c>
      <c r="C273" s="425" t="s">
        <v>1452</v>
      </c>
      <c r="D273" s="425"/>
      <c r="E273" s="8" t="s">
        <v>57</v>
      </c>
      <c r="F273" s="643" t="str">
        <f t="shared" si="202"/>
        <v>E4.P_A</v>
      </c>
      <c r="G273" s="405" t="s">
        <v>391</v>
      </c>
      <c r="H273" s="405" t="s">
        <v>542</v>
      </c>
      <c r="I273" s="438"/>
      <c r="J273" s="278" t="s">
        <v>268</v>
      </c>
      <c r="K273" s="279" t="str">
        <f t="shared" si="203"/>
        <v>E4.P_A.MR4</v>
      </c>
      <c r="L273" s="404" t="s">
        <v>547</v>
      </c>
      <c r="M273" s="405" t="s">
        <v>1525</v>
      </c>
      <c r="N273" s="751">
        <v>7357</v>
      </c>
      <c r="O273" s="487">
        <v>11035</v>
      </c>
      <c r="P273" s="765" t="s">
        <v>87</v>
      </c>
      <c r="Q273" s="764" t="str">
        <f t="shared" si="204"/>
        <v>E4.P_A.MR4-MP02-1</v>
      </c>
      <c r="R273" s="416" t="s">
        <v>1530</v>
      </c>
      <c r="S273" s="308" t="s">
        <v>1531</v>
      </c>
      <c r="T273" s="287">
        <v>1</v>
      </c>
      <c r="U273" s="288">
        <v>3</v>
      </c>
      <c r="V273" s="287" t="s">
        <v>67</v>
      </c>
      <c r="W273" s="289">
        <v>0</v>
      </c>
      <c r="X273" s="290">
        <v>1</v>
      </c>
      <c r="Y273" s="289">
        <v>1</v>
      </c>
      <c r="Z273" s="291">
        <v>1</v>
      </c>
      <c r="AA273" s="292"/>
      <c r="AB273" s="293"/>
      <c r="AC273" s="293"/>
      <c r="AD273" s="293"/>
      <c r="AE273" s="293"/>
      <c r="AF273" s="293"/>
      <c r="AG273" s="293"/>
      <c r="AH273" s="293"/>
      <c r="AI273" s="293"/>
      <c r="AJ273" s="293"/>
      <c r="AK273" s="293"/>
      <c r="AL273" s="293"/>
      <c r="AM273" s="293"/>
      <c r="AN273" s="293"/>
      <c r="AO273" s="293"/>
      <c r="AP273" s="293"/>
      <c r="AQ273" s="293"/>
      <c r="AR273" s="293"/>
      <c r="AS273" s="293"/>
      <c r="AT273" s="293"/>
      <c r="AU273" s="293"/>
      <c r="AV273" s="293"/>
      <c r="AW273" s="293"/>
      <c r="AX273" s="293"/>
      <c r="AY273" s="293"/>
      <c r="AZ273" s="293"/>
      <c r="BA273" s="293"/>
      <c r="BB273" s="293"/>
      <c r="BC273" s="294"/>
      <c r="BD273" s="295" t="s">
        <v>1458</v>
      </c>
      <c r="BS273" s="84" t="s">
        <v>546</v>
      </c>
      <c r="BT273" s="84" t="s">
        <v>547</v>
      </c>
      <c r="BU273" s="85" t="s">
        <v>1528</v>
      </c>
      <c r="BV273" s="84" t="s">
        <v>1526</v>
      </c>
      <c r="DH273" s="7" t="s">
        <v>1533</v>
      </c>
      <c r="DI273" s="7" t="s">
        <v>540</v>
      </c>
      <c r="DJ273" s="7" t="s">
        <v>541</v>
      </c>
      <c r="DK273" s="7" t="s">
        <v>542</v>
      </c>
      <c r="DL273" s="7" t="s">
        <v>563</v>
      </c>
      <c r="DQ273" s="7" t="s">
        <v>1528</v>
      </c>
      <c r="DR273" s="7" t="s">
        <v>1526</v>
      </c>
      <c r="EL273" s="828" t="s">
        <v>1532</v>
      </c>
      <c r="EM273" s="312" t="s">
        <v>1530</v>
      </c>
      <c r="EN273" s="268" t="s">
        <v>1531</v>
      </c>
      <c r="EO273" s="268">
        <v>1</v>
      </c>
      <c r="EP273" s="268">
        <v>3</v>
      </c>
      <c r="EQ273" s="269">
        <v>0</v>
      </c>
      <c r="ER273" s="269">
        <v>1</v>
      </c>
      <c r="ES273" s="269">
        <v>1</v>
      </c>
      <c r="ET273" s="820">
        <v>1</v>
      </c>
    </row>
    <row r="274" spans="1:150" ht="35.25" customHeight="1" thickBot="1" x14ac:dyDescent="0.25">
      <c r="A274" s="763" t="s">
        <v>103</v>
      </c>
      <c r="B274" s="424" t="s">
        <v>104</v>
      </c>
      <c r="C274" s="425" t="s">
        <v>1452</v>
      </c>
      <c r="D274" s="425"/>
      <c r="E274" s="8" t="s">
        <v>57</v>
      </c>
      <c r="F274" s="643" t="str">
        <f t="shared" si="202"/>
        <v>E4.P_A</v>
      </c>
      <c r="G274" s="421" t="s">
        <v>391</v>
      </c>
      <c r="H274" s="421" t="s">
        <v>542</v>
      </c>
      <c r="I274" s="442"/>
      <c r="J274" s="335" t="s">
        <v>268</v>
      </c>
      <c r="K274" s="395" t="str">
        <f t="shared" si="203"/>
        <v>E4.P_A.MR4</v>
      </c>
      <c r="L274" s="420" t="s">
        <v>547</v>
      </c>
      <c r="M274" s="421" t="s">
        <v>1525</v>
      </c>
      <c r="N274" s="752">
        <v>7357</v>
      </c>
      <c r="O274" s="493">
        <v>11035</v>
      </c>
      <c r="P274" s="766" t="s">
        <v>99</v>
      </c>
      <c r="Q274" s="778" t="str">
        <f t="shared" si="204"/>
        <v>E4.P_A.MR4-MP03-1</v>
      </c>
      <c r="R274" s="471" t="s">
        <v>1534</v>
      </c>
      <c r="S274" s="331" t="s">
        <v>1488</v>
      </c>
      <c r="T274" s="332">
        <v>0</v>
      </c>
      <c r="U274" s="333">
        <v>1</v>
      </c>
      <c r="V274" s="332" t="s">
        <v>67</v>
      </c>
      <c r="W274" s="497">
        <v>0</v>
      </c>
      <c r="X274" s="779">
        <v>0.5</v>
      </c>
      <c r="Y274" s="780">
        <v>0</v>
      </c>
      <c r="Z274" s="563">
        <v>0.5</v>
      </c>
      <c r="AA274" s="292"/>
      <c r="AB274" s="293"/>
      <c r="AC274" s="293"/>
      <c r="AD274" s="293"/>
      <c r="AE274" s="293"/>
      <c r="AF274" s="293"/>
      <c r="AG274" s="293"/>
      <c r="AH274" s="293"/>
      <c r="AI274" s="293"/>
      <c r="AJ274" s="293"/>
      <c r="AK274" s="293"/>
      <c r="AL274" s="293"/>
      <c r="AM274" s="293"/>
      <c r="AN274" s="293"/>
      <c r="AO274" s="293"/>
      <c r="AP274" s="293"/>
      <c r="AQ274" s="293"/>
      <c r="AR274" s="293"/>
      <c r="AS274" s="293"/>
      <c r="AT274" s="293"/>
      <c r="AU274" s="293"/>
      <c r="AV274" s="293"/>
      <c r="AW274" s="293"/>
      <c r="AX274" s="293"/>
      <c r="AY274" s="293"/>
      <c r="AZ274" s="293"/>
      <c r="BA274" s="293"/>
      <c r="BB274" s="293"/>
      <c r="BC274" s="294"/>
      <c r="BD274" s="295" t="s">
        <v>1458</v>
      </c>
      <c r="BS274" s="86" t="s">
        <v>546</v>
      </c>
      <c r="BT274" s="86" t="s">
        <v>547</v>
      </c>
      <c r="BU274" s="85" t="s">
        <v>1532</v>
      </c>
      <c r="BV274" s="84" t="s">
        <v>1530</v>
      </c>
      <c r="DH274" s="7" t="s">
        <v>1536</v>
      </c>
      <c r="DI274" s="7" t="s">
        <v>540</v>
      </c>
      <c r="DJ274" s="7" t="s">
        <v>541</v>
      </c>
      <c r="DK274" s="7" t="s">
        <v>542</v>
      </c>
      <c r="DL274" s="7" t="s">
        <v>563</v>
      </c>
      <c r="DQ274" s="7" t="s">
        <v>1532</v>
      </c>
      <c r="DR274" s="7" t="s">
        <v>1530</v>
      </c>
      <c r="EL274" s="828" t="s">
        <v>1535</v>
      </c>
      <c r="EM274" s="312" t="s">
        <v>1534</v>
      </c>
      <c r="EN274" s="268" t="s">
        <v>1488</v>
      </c>
      <c r="EO274" s="268">
        <v>0</v>
      </c>
      <c r="EP274" s="268">
        <v>1</v>
      </c>
      <c r="EQ274" s="269">
        <v>0</v>
      </c>
      <c r="ER274" s="270">
        <v>0.5</v>
      </c>
      <c r="ES274" s="270">
        <v>0</v>
      </c>
      <c r="ET274" s="823">
        <v>0.5</v>
      </c>
    </row>
    <row r="275" spans="1:150" ht="101.25" customHeight="1" x14ac:dyDescent="0.2">
      <c r="A275" s="763" t="s">
        <v>103</v>
      </c>
      <c r="B275" s="424" t="s">
        <v>104</v>
      </c>
      <c r="C275" s="425" t="s">
        <v>1452</v>
      </c>
      <c r="D275" s="426" t="s">
        <v>1537</v>
      </c>
      <c r="E275" s="3" t="s">
        <v>372</v>
      </c>
      <c r="F275" s="3" t="str">
        <f t="shared" si="202"/>
        <v>E4.P_B</v>
      </c>
      <c r="G275" s="474" t="s">
        <v>402</v>
      </c>
      <c r="H275" s="356" t="s">
        <v>572</v>
      </c>
      <c r="I275" s="399" t="s">
        <v>1538</v>
      </c>
      <c r="J275" s="430" t="s">
        <v>61</v>
      </c>
      <c r="K275" s="393" t="str">
        <f t="shared" si="203"/>
        <v>E4.P_B.MR1</v>
      </c>
      <c r="L275" s="355" t="s">
        <v>554</v>
      </c>
      <c r="M275" s="356" t="s">
        <v>1539</v>
      </c>
      <c r="N275" s="357">
        <v>4</v>
      </c>
      <c r="O275" s="241">
        <v>6</v>
      </c>
      <c r="P275" s="359" t="s">
        <v>64</v>
      </c>
      <c r="Q275" s="360" t="str">
        <f t="shared" si="204"/>
        <v>E4.P_B.MR1-MP01-1</v>
      </c>
      <c r="R275" s="412" t="s">
        <v>1540</v>
      </c>
      <c r="S275" s="362" t="s">
        <v>1541</v>
      </c>
      <c r="T275" s="363">
        <v>0</v>
      </c>
      <c r="U275" s="364">
        <v>1</v>
      </c>
      <c r="V275" s="363" t="s">
        <v>67</v>
      </c>
      <c r="W275" s="249">
        <v>0</v>
      </c>
      <c r="X275" s="365">
        <v>1</v>
      </c>
      <c r="Y275" s="249">
        <v>0</v>
      </c>
      <c r="Z275" s="366">
        <v>0</v>
      </c>
      <c r="AA275" s="585">
        <f>20000000+10000000-1350419925+1320419925</f>
        <v>0</v>
      </c>
      <c r="AB275" s="586">
        <v>0</v>
      </c>
      <c r="AC275" s="586">
        <f>1000000000-1000000000</f>
        <v>0</v>
      </c>
      <c r="AD275" s="586">
        <v>0</v>
      </c>
      <c r="AE275" s="586">
        <v>0</v>
      </c>
      <c r="AF275" s="586">
        <f>620372665+47260-320372665-47260</f>
        <v>300000000</v>
      </c>
      <c r="AG275" s="586">
        <f>SUM(AA275:AF275)</f>
        <v>300000000</v>
      </c>
      <c r="AH275" s="586">
        <f t="shared" ref="AH275:AM275" si="205">AA275*1.035</f>
        <v>0</v>
      </c>
      <c r="AI275" s="586">
        <f t="shared" si="205"/>
        <v>0</v>
      </c>
      <c r="AJ275" s="586">
        <f t="shared" si="205"/>
        <v>0</v>
      </c>
      <c r="AK275" s="586">
        <f t="shared" si="205"/>
        <v>0</v>
      </c>
      <c r="AL275" s="586">
        <f t="shared" si="205"/>
        <v>0</v>
      </c>
      <c r="AM275" s="586">
        <f t="shared" si="205"/>
        <v>310500000</v>
      </c>
      <c r="AN275" s="586">
        <f>SUM(AH275:AM275)</f>
        <v>310500000</v>
      </c>
      <c r="AO275" s="586">
        <f t="shared" ref="AO275:AT275" si="206">AH275*1.035</f>
        <v>0</v>
      </c>
      <c r="AP275" s="586">
        <f t="shared" si="206"/>
        <v>0</v>
      </c>
      <c r="AQ275" s="586">
        <f t="shared" si="206"/>
        <v>0</v>
      </c>
      <c r="AR275" s="586">
        <f t="shared" si="206"/>
        <v>0</v>
      </c>
      <c r="AS275" s="586">
        <f t="shared" si="206"/>
        <v>0</v>
      </c>
      <c r="AT275" s="586">
        <f t="shared" si="206"/>
        <v>321367500</v>
      </c>
      <c r="AU275" s="586">
        <f>SUM(AO275:AT275)</f>
        <v>321367500</v>
      </c>
      <c r="AV275" s="586">
        <f t="shared" ref="AV275:BA275" si="207">AO275*1.035</f>
        <v>0</v>
      </c>
      <c r="AW275" s="586">
        <f t="shared" si="207"/>
        <v>0</v>
      </c>
      <c r="AX275" s="586">
        <f t="shared" si="207"/>
        <v>0</v>
      </c>
      <c r="AY275" s="586">
        <f t="shared" si="207"/>
        <v>0</v>
      </c>
      <c r="AZ275" s="586">
        <f t="shared" si="207"/>
        <v>0</v>
      </c>
      <c r="BA275" s="586">
        <f t="shared" si="207"/>
        <v>332615362.5</v>
      </c>
      <c r="BB275" s="586">
        <f>SUM(AV275:BA275)</f>
        <v>332615362.5</v>
      </c>
      <c r="BC275" s="654">
        <f t="shared" ref="BC275" si="208">+BB275+AU275+AN275+AG275</f>
        <v>1264482862.5</v>
      </c>
      <c r="BD275" s="295" t="s">
        <v>1458</v>
      </c>
      <c r="BS275" s="86" t="s">
        <v>546</v>
      </c>
      <c r="BT275" s="86" t="s">
        <v>547</v>
      </c>
      <c r="BU275" s="85" t="s">
        <v>1535</v>
      </c>
      <c r="BV275" s="84" t="s">
        <v>1534</v>
      </c>
      <c r="DH275" s="7" t="s">
        <v>1543</v>
      </c>
      <c r="DI275" s="7" t="s">
        <v>540</v>
      </c>
      <c r="DJ275" s="7" t="s">
        <v>541</v>
      </c>
      <c r="DK275" s="7" t="s">
        <v>542</v>
      </c>
      <c r="DL275" s="7" t="s">
        <v>563</v>
      </c>
      <c r="DQ275" s="7" t="s">
        <v>1535</v>
      </c>
      <c r="DR275" s="7" t="s">
        <v>1534</v>
      </c>
      <c r="EL275" s="822" t="s">
        <v>1542</v>
      </c>
      <c r="EM275" s="312" t="s">
        <v>1540</v>
      </c>
      <c r="EN275" s="268" t="s">
        <v>1541</v>
      </c>
      <c r="EO275" s="268">
        <v>0</v>
      </c>
      <c r="EP275" s="268">
        <v>1</v>
      </c>
      <c r="EQ275" s="269">
        <v>0</v>
      </c>
      <c r="ER275" s="269">
        <v>1</v>
      </c>
      <c r="ES275" s="269">
        <v>0</v>
      </c>
      <c r="ET275" s="820">
        <v>0</v>
      </c>
    </row>
    <row r="276" spans="1:150" ht="38.25" customHeight="1" x14ac:dyDescent="0.2">
      <c r="A276" s="763" t="s">
        <v>103</v>
      </c>
      <c r="B276" s="424" t="s">
        <v>104</v>
      </c>
      <c r="C276" s="425" t="s">
        <v>1452</v>
      </c>
      <c r="D276" s="425"/>
      <c r="E276" s="8" t="s">
        <v>372</v>
      </c>
      <c r="F276" s="643" t="str">
        <f t="shared" si="202"/>
        <v>E4.P_B</v>
      </c>
      <c r="G276" s="405" t="s">
        <v>402</v>
      </c>
      <c r="H276" s="405" t="s">
        <v>572</v>
      </c>
      <c r="I276" s="438"/>
      <c r="J276" s="278" t="s">
        <v>61</v>
      </c>
      <c r="K276" s="279" t="str">
        <f t="shared" si="203"/>
        <v>E4.P_B.MR1</v>
      </c>
      <c r="L276" s="507" t="s">
        <v>554</v>
      </c>
      <c r="M276" s="508" t="s">
        <v>1539</v>
      </c>
      <c r="N276" s="369">
        <v>4</v>
      </c>
      <c r="O276" s="282">
        <v>6</v>
      </c>
      <c r="P276" s="371" t="s">
        <v>87</v>
      </c>
      <c r="Q276" s="372" t="str">
        <f t="shared" si="204"/>
        <v>E4.P_B.MR1-MP02-1</v>
      </c>
      <c r="R276" s="416" t="s">
        <v>1544</v>
      </c>
      <c r="S276" s="308" t="s">
        <v>1545</v>
      </c>
      <c r="T276" s="287">
        <v>1</v>
      </c>
      <c r="U276" s="288">
        <v>1</v>
      </c>
      <c r="V276" s="287" t="s">
        <v>102</v>
      </c>
      <c r="W276" s="315">
        <v>0.25</v>
      </c>
      <c r="X276" s="316">
        <v>0.75</v>
      </c>
      <c r="Y276" s="289">
        <v>0</v>
      </c>
      <c r="Z276" s="291">
        <v>0</v>
      </c>
      <c r="AA276" s="292"/>
      <c r="AB276" s="293"/>
      <c r="AC276" s="293"/>
      <c r="AD276" s="293"/>
      <c r="AE276" s="293"/>
      <c r="AF276" s="293"/>
      <c r="AG276" s="293"/>
      <c r="AH276" s="293"/>
      <c r="AI276" s="293"/>
      <c r="AJ276" s="293"/>
      <c r="AK276" s="293"/>
      <c r="AL276" s="293"/>
      <c r="AM276" s="293"/>
      <c r="AN276" s="293"/>
      <c r="AO276" s="293"/>
      <c r="AP276" s="293"/>
      <c r="AQ276" s="293"/>
      <c r="AR276" s="293"/>
      <c r="AS276" s="293"/>
      <c r="AT276" s="293"/>
      <c r="AU276" s="293"/>
      <c r="AV276" s="293"/>
      <c r="AW276" s="293"/>
      <c r="AX276" s="293"/>
      <c r="AY276" s="293"/>
      <c r="AZ276" s="293"/>
      <c r="BA276" s="293"/>
      <c r="BB276" s="293"/>
      <c r="BC276" s="294"/>
      <c r="BD276" s="295" t="s">
        <v>1458</v>
      </c>
      <c r="BS276" s="84" t="s">
        <v>553</v>
      </c>
      <c r="BT276" s="84" t="s">
        <v>554</v>
      </c>
      <c r="BU276" s="87" t="s">
        <v>1542</v>
      </c>
      <c r="BV276" s="84" t="s">
        <v>1540</v>
      </c>
      <c r="DH276" s="7" t="s">
        <v>1547</v>
      </c>
      <c r="DI276" s="7" t="s">
        <v>540</v>
      </c>
      <c r="DJ276" s="7" t="s">
        <v>571</v>
      </c>
      <c r="DK276" s="7" t="s">
        <v>572</v>
      </c>
      <c r="DL276" s="7" t="s">
        <v>570</v>
      </c>
      <c r="DQ276" s="7" t="s">
        <v>1542</v>
      </c>
      <c r="DR276" s="7" t="s">
        <v>1540</v>
      </c>
      <c r="EL276" s="822" t="s">
        <v>1546</v>
      </c>
      <c r="EM276" s="312" t="s">
        <v>1544</v>
      </c>
      <c r="EN276" s="268" t="s">
        <v>1545</v>
      </c>
      <c r="EO276" s="268">
        <v>1</v>
      </c>
      <c r="EP276" s="268">
        <v>1</v>
      </c>
      <c r="EQ276" s="323">
        <v>0.25</v>
      </c>
      <c r="ER276" s="323">
        <v>0.75</v>
      </c>
      <c r="ES276" s="269">
        <v>0</v>
      </c>
      <c r="ET276" s="820">
        <v>0</v>
      </c>
    </row>
    <row r="277" spans="1:150" ht="39" customHeight="1" x14ac:dyDescent="0.2">
      <c r="A277" s="763" t="s">
        <v>103</v>
      </c>
      <c r="B277" s="424" t="s">
        <v>104</v>
      </c>
      <c r="C277" s="425" t="s">
        <v>1452</v>
      </c>
      <c r="D277" s="425"/>
      <c r="E277" s="8" t="s">
        <v>372</v>
      </c>
      <c r="F277" s="643" t="str">
        <f t="shared" si="202"/>
        <v>E4.P_B</v>
      </c>
      <c r="G277" s="405" t="s">
        <v>402</v>
      </c>
      <c r="H277" s="405" t="s">
        <v>572</v>
      </c>
      <c r="I277" s="438"/>
      <c r="J277" s="278" t="s">
        <v>61</v>
      </c>
      <c r="K277" s="279" t="str">
        <f t="shared" si="203"/>
        <v>E4.P_B.MR1</v>
      </c>
      <c r="L277" s="507" t="s">
        <v>554</v>
      </c>
      <c r="M277" s="508" t="s">
        <v>1539</v>
      </c>
      <c r="N277" s="369">
        <v>4</v>
      </c>
      <c r="O277" s="282">
        <v>6</v>
      </c>
      <c r="P277" s="371" t="s">
        <v>99</v>
      </c>
      <c r="Q277" s="372" t="str">
        <f t="shared" si="204"/>
        <v>E4.P_B.MR1-MP03-1</v>
      </c>
      <c r="R277" s="416" t="s">
        <v>1548</v>
      </c>
      <c r="S277" s="308" t="s">
        <v>1539</v>
      </c>
      <c r="T277" s="287">
        <v>2</v>
      </c>
      <c r="U277" s="288">
        <v>4</v>
      </c>
      <c r="V277" s="287" t="s">
        <v>67</v>
      </c>
      <c r="W277" s="289">
        <v>1</v>
      </c>
      <c r="X277" s="290">
        <v>1</v>
      </c>
      <c r="Y277" s="289">
        <v>1</v>
      </c>
      <c r="Z277" s="291">
        <v>1</v>
      </c>
      <c r="AA277" s="292"/>
      <c r="AB277" s="293"/>
      <c r="AC277" s="293"/>
      <c r="AD277" s="293"/>
      <c r="AE277" s="293"/>
      <c r="AF277" s="293"/>
      <c r="AG277" s="293"/>
      <c r="AH277" s="293"/>
      <c r="AI277" s="293"/>
      <c r="AJ277" s="293"/>
      <c r="AK277" s="293"/>
      <c r="AL277" s="293"/>
      <c r="AM277" s="293"/>
      <c r="AN277" s="293"/>
      <c r="AO277" s="293"/>
      <c r="AP277" s="293"/>
      <c r="AQ277" s="293"/>
      <c r="AR277" s="293"/>
      <c r="AS277" s="293"/>
      <c r="AT277" s="293"/>
      <c r="AU277" s="293"/>
      <c r="AV277" s="293"/>
      <c r="AW277" s="293"/>
      <c r="AX277" s="293"/>
      <c r="AY277" s="293"/>
      <c r="AZ277" s="293"/>
      <c r="BA277" s="293"/>
      <c r="BB277" s="293"/>
      <c r="BC277" s="294"/>
      <c r="BD277" s="295" t="s">
        <v>1458</v>
      </c>
      <c r="BS277" s="86" t="s">
        <v>553</v>
      </c>
      <c r="BT277" s="86" t="s">
        <v>554</v>
      </c>
      <c r="BU277" s="87" t="s">
        <v>1546</v>
      </c>
      <c r="BV277" s="84" t="s">
        <v>1544</v>
      </c>
      <c r="DH277" s="7" t="s">
        <v>1550</v>
      </c>
      <c r="DI277" s="7" t="s">
        <v>540</v>
      </c>
      <c r="DJ277" s="7" t="s">
        <v>571</v>
      </c>
      <c r="DK277" s="7" t="s">
        <v>572</v>
      </c>
      <c r="DL277" s="7" t="s">
        <v>570</v>
      </c>
      <c r="DQ277" s="7" t="s">
        <v>1546</v>
      </c>
      <c r="DR277" s="7" t="s">
        <v>1544</v>
      </c>
      <c r="EL277" s="822" t="s">
        <v>1549</v>
      </c>
      <c r="EM277" s="312" t="s">
        <v>1548</v>
      </c>
      <c r="EN277" s="268" t="s">
        <v>1539</v>
      </c>
      <c r="EO277" s="268">
        <v>2</v>
      </c>
      <c r="EP277" s="268">
        <v>4</v>
      </c>
      <c r="EQ277" s="269">
        <v>1</v>
      </c>
      <c r="ER277" s="269">
        <v>1</v>
      </c>
      <c r="ES277" s="269">
        <v>1</v>
      </c>
      <c r="ET277" s="820">
        <v>1</v>
      </c>
    </row>
    <row r="278" spans="1:150" ht="44.25" customHeight="1" x14ac:dyDescent="0.2">
      <c r="A278" s="763" t="s">
        <v>103</v>
      </c>
      <c r="B278" s="424" t="s">
        <v>104</v>
      </c>
      <c r="C278" s="425" t="s">
        <v>1452</v>
      </c>
      <c r="D278" s="425"/>
      <c r="E278" s="8" t="s">
        <v>372</v>
      </c>
      <c r="F278" s="643" t="str">
        <f t="shared" si="202"/>
        <v>E4.P_B</v>
      </c>
      <c r="G278" s="405" t="s">
        <v>402</v>
      </c>
      <c r="H278" s="405" t="s">
        <v>572</v>
      </c>
      <c r="I278" s="438"/>
      <c r="J278" s="278" t="s">
        <v>61</v>
      </c>
      <c r="K278" s="279" t="str">
        <f t="shared" si="203"/>
        <v>E4.P_B.MR1</v>
      </c>
      <c r="L278" s="507" t="s">
        <v>554</v>
      </c>
      <c r="M278" s="508" t="s">
        <v>1539</v>
      </c>
      <c r="N278" s="369">
        <v>4</v>
      </c>
      <c r="O278" s="282">
        <v>6</v>
      </c>
      <c r="P278" s="371" t="s">
        <v>112</v>
      </c>
      <c r="Q278" s="372" t="str">
        <f t="shared" si="204"/>
        <v>E4.P_B.MR1-MP04-1</v>
      </c>
      <c r="R278" s="416" t="s">
        <v>1551</v>
      </c>
      <c r="S278" s="308" t="s">
        <v>1552</v>
      </c>
      <c r="T278" s="287">
        <v>0</v>
      </c>
      <c r="U278" s="288">
        <v>1</v>
      </c>
      <c r="V278" s="287" t="s">
        <v>67</v>
      </c>
      <c r="W278" s="289">
        <v>0</v>
      </c>
      <c r="X278" s="316">
        <v>0.56999999999999995</v>
      </c>
      <c r="Y278" s="309">
        <v>0.2</v>
      </c>
      <c r="Z278" s="317">
        <v>0.23</v>
      </c>
      <c r="AA278" s="292"/>
      <c r="AB278" s="293"/>
      <c r="AC278" s="293"/>
      <c r="AD278" s="293"/>
      <c r="AE278" s="293"/>
      <c r="AF278" s="293"/>
      <c r="AG278" s="293"/>
      <c r="AH278" s="293"/>
      <c r="AI278" s="293"/>
      <c r="AJ278" s="293"/>
      <c r="AK278" s="293"/>
      <c r="AL278" s="293"/>
      <c r="AM278" s="293"/>
      <c r="AN278" s="293"/>
      <c r="AO278" s="293"/>
      <c r="AP278" s="293"/>
      <c r="AQ278" s="293"/>
      <c r="AR278" s="293"/>
      <c r="AS278" s="293"/>
      <c r="AT278" s="293"/>
      <c r="AU278" s="293"/>
      <c r="AV278" s="293"/>
      <c r="AW278" s="293"/>
      <c r="AX278" s="293"/>
      <c r="AY278" s="293"/>
      <c r="AZ278" s="293"/>
      <c r="BA278" s="293"/>
      <c r="BB278" s="293"/>
      <c r="BC278" s="294"/>
      <c r="BD278" s="295" t="s">
        <v>1458</v>
      </c>
      <c r="BS278" s="86" t="s">
        <v>553</v>
      </c>
      <c r="BT278" s="86" t="s">
        <v>554</v>
      </c>
      <c r="BU278" s="87" t="s">
        <v>1549</v>
      </c>
      <c r="BV278" s="84" t="s">
        <v>1548</v>
      </c>
      <c r="DH278" s="7" t="s">
        <v>1554</v>
      </c>
      <c r="DI278" s="7" t="s">
        <v>540</v>
      </c>
      <c r="DJ278" s="7" t="s">
        <v>571</v>
      </c>
      <c r="DK278" s="7" t="s">
        <v>572</v>
      </c>
      <c r="DL278" s="7" t="s">
        <v>570</v>
      </c>
      <c r="DQ278" s="7" t="s">
        <v>1549</v>
      </c>
      <c r="DR278" s="7" t="s">
        <v>1548</v>
      </c>
      <c r="EL278" s="822" t="s">
        <v>1553</v>
      </c>
      <c r="EM278" s="312" t="s">
        <v>1551</v>
      </c>
      <c r="EN278" s="268" t="s">
        <v>1552</v>
      </c>
      <c r="EO278" s="268">
        <v>0</v>
      </c>
      <c r="EP278" s="268">
        <v>1</v>
      </c>
      <c r="EQ278" s="269">
        <v>0</v>
      </c>
      <c r="ER278" s="323">
        <v>0.56999999999999995</v>
      </c>
      <c r="ES278" s="270">
        <v>0.2</v>
      </c>
      <c r="ET278" s="819">
        <v>0.23</v>
      </c>
    </row>
    <row r="279" spans="1:150" ht="39" customHeight="1" x14ac:dyDescent="0.2">
      <c r="A279" s="763" t="s">
        <v>103</v>
      </c>
      <c r="B279" s="424" t="s">
        <v>104</v>
      </c>
      <c r="C279" s="425" t="s">
        <v>1452</v>
      </c>
      <c r="D279" s="425"/>
      <c r="E279" s="8" t="s">
        <v>372</v>
      </c>
      <c r="F279" s="643" t="str">
        <f t="shared" si="202"/>
        <v>E4.P_B</v>
      </c>
      <c r="G279" s="405" t="s">
        <v>402</v>
      </c>
      <c r="H279" s="405" t="s">
        <v>572</v>
      </c>
      <c r="I279" s="438"/>
      <c r="J279" s="278" t="s">
        <v>61</v>
      </c>
      <c r="K279" s="279" t="str">
        <f t="shared" si="203"/>
        <v>E4.P_B.MR1</v>
      </c>
      <c r="L279" s="507" t="s">
        <v>554</v>
      </c>
      <c r="M279" s="508" t="s">
        <v>1539</v>
      </c>
      <c r="N279" s="369">
        <v>4</v>
      </c>
      <c r="O279" s="282">
        <v>6</v>
      </c>
      <c r="P279" s="371" t="s">
        <v>122</v>
      </c>
      <c r="Q279" s="372" t="str">
        <f t="shared" si="204"/>
        <v>E4.P_B.MR1-MP05-1</v>
      </c>
      <c r="R279" s="416" t="s">
        <v>1555</v>
      </c>
      <c r="S279" s="308" t="s">
        <v>1556</v>
      </c>
      <c r="T279" s="287">
        <v>0</v>
      </c>
      <c r="U279" s="314">
        <v>0.5</v>
      </c>
      <c r="V279" s="313" t="s">
        <v>67</v>
      </c>
      <c r="W279" s="289">
        <v>0</v>
      </c>
      <c r="X279" s="316">
        <v>0.33</v>
      </c>
      <c r="Y279" s="315">
        <v>0.33</v>
      </c>
      <c r="Z279" s="317">
        <v>0.34</v>
      </c>
      <c r="AA279" s="318"/>
      <c r="AB279" s="319"/>
      <c r="AC279" s="319"/>
      <c r="AD279" s="319"/>
      <c r="AE279" s="319"/>
      <c r="AF279" s="319"/>
      <c r="AG279" s="319"/>
      <c r="AH279" s="319"/>
      <c r="AI279" s="319"/>
      <c r="AJ279" s="319"/>
      <c r="AK279" s="319"/>
      <c r="AL279" s="319"/>
      <c r="AM279" s="319"/>
      <c r="AN279" s="319"/>
      <c r="AO279" s="319"/>
      <c r="AP279" s="319"/>
      <c r="AQ279" s="319"/>
      <c r="AR279" s="319"/>
      <c r="AS279" s="319"/>
      <c r="AT279" s="319"/>
      <c r="AU279" s="319"/>
      <c r="AV279" s="319"/>
      <c r="AW279" s="319"/>
      <c r="AX279" s="319"/>
      <c r="AY279" s="319"/>
      <c r="AZ279" s="319"/>
      <c r="BA279" s="319"/>
      <c r="BB279" s="319"/>
      <c r="BC279" s="320"/>
      <c r="BD279" s="295" t="s">
        <v>1458</v>
      </c>
      <c r="BS279" s="86" t="s">
        <v>553</v>
      </c>
      <c r="BT279" s="86" t="s">
        <v>554</v>
      </c>
      <c r="BU279" s="87" t="s">
        <v>1553</v>
      </c>
      <c r="BV279" s="84" t="s">
        <v>1551</v>
      </c>
      <c r="DH279" s="7" t="s">
        <v>1558</v>
      </c>
      <c r="DI279" s="7" t="s">
        <v>540</v>
      </c>
      <c r="DJ279" s="7" t="s">
        <v>571</v>
      </c>
      <c r="DK279" s="7" t="s">
        <v>572</v>
      </c>
      <c r="DL279" s="7" t="s">
        <v>570</v>
      </c>
      <c r="DQ279" s="7" t="s">
        <v>1553</v>
      </c>
      <c r="DR279" s="7" t="s">
        <v>1551</v>
      </c>
      <c r="EL279" s="822" t="s">
        <v>1557</v>
      </c>
      <c r="EM279" s="312" t="s">
        <v>1555</v>
      </c>
      <c r="EN279" s="268" t="s">
        <v>1556</v>
      </c>
      <c r="EO279" s="268">
        <v>0</v>
      </c>
      <c r="EP279" s="484">
        <v>50</v>
      </c>
      <c r="EQ279" s="803">
        <v>0</v>
      </c>
      <c r="ER279" s="806">
        <v>10</v>
      </c>
      <c r="ES279" s="806">
        <v>20</v>
      </c>
      <c r="ET279" s="841">
        <v>20</v>
      </c>
    </row>
    <row r="280" spans="1:150" ht="39.75" customHeight="1" thickBot="1" x14ac:dyDescent="0.25">
      <c r="A280" s="763" t="s">
        <v>103</v>
      </c>
      <c r="B280" s="424" t="s">
        <v>104</v>
      </c>
      <c r="C280" s="425" t="s">
        <v>1452</v>
      </c>
      <c r="D280" s="425"/>
      <c r="E280" s="8" t="s">
        <v>372</v>
      </c>
      <c r="F280" s="643" t="str">
        <f t="shared" si="202"/>
        <v>E4.P_B</v>
      </c>
      <c r="G280" s="421" t="s">
        <v>402</v>
      </c>
      <c r="H280" s="421" t="s">
        <v>572</v>
      </c>
      <c r="I280" s="442"/>
      <c r="J280" s="335" t="s">
        <v>61</v>
      </c>
      <c r="K280" s="395" t="str">
        <f t="shared" si="203"/>
        <v>E4.P_B.MR1</v>
      </c>
      <c r="L280" s="543" t="s">
        <v>554</v>
      </c>
      <c r="M280" s="544" t="s">
        <v>1539</v>
      </c>
      <c r="N280" s="383">
        <v>4</v>
      </c>
      <c r="O280" s="422">
        <v>6</v>
      </c>
      <c r="P280" s="385" t="s">
        <v>132</v>
      </c>
      <c r="Q280" s="386" t="str">
        <f t="shared" si="204"/>
        <v>E4.P_B.MR1-MP06-1</v>
      </c>
      <c r="R280" s="423" t="s">
        <v>1559</v>
      </c>
      <c r="S280" s="344" t="s">
        <v>1560</v>
      </c>
      <c r="T280" s="345">
        <v>0</v>
      </c>
      <c r="U280" s="556">
        <v>1</v>
      </c>
      <c r="V280" s="555" t="s">
        <v>67</v>
      </c>
      <c r="W280" s="389">
        <v>0.17</v>
      </c>
      <c r="X280" s="616">
        <v>0.5</v>
      </c>
      <c r="Y280" s="389">
        <v>0.17</v>
      </c>
      <c r="Z280" s="391">
        <v>0.16</v>
      </c>
      <c r="AA280" s="318"/>
      <c r="AB280" s="319"/>
      <c r="AC280" s="319"/>
      <c r="AD280" s="319"/>
      <c r="AE280" s="319"/>
      <c r="AF280" s="319"/>
      <c r="AG280" s="319"/>
      <c r="AH280" s="319"/>
      <c r="AI280" s="319"/>
      <c r="AJ280" s="319"/>
      <c r="AK280" s="319"/>
      <c r="AL280" s="319"/>
      <c r="AM280" s="319"/>
      <c r="AN280" s="319"/>
      <c r="AO280" s="319"/>
      <c r="AP280" s="319"/>
      <c r="AQ280" s="319"/>
      <c r="AR280" s="319"/>
      <c r="AS280" s="319"/>
      <c r="AT280" s="319"/>
      <c r="AU280" s="319"/>
      <c r="AV280" s="319"/>
      <c r="AW280" s="319"/>
      <c r="AX280" s="319"/>
      <c r="AY280" s="319"/>
      <c r="AZ280" s="319"/>
      <c r="BA280" s="319"/>
      <c r="BB280" s="319"/>
      <c r="BC280" s="320"/>
      <c r="BD280" s="295" t="s">
        <v>1458</v>
      </c>
      <c r="BS280" s="86" t="s">
        <v>553</v>
      </c>
      <c r="BT280" s="86" t="s">
        <v>554</v>
      </c>
      <c r="BU280" s="87" t="s">
        <v>1557</v>
      </c>
      <c r="BV280" s="84" t="s">
        <v>1555</v>
      </c>
      <c r="DH280" s="7" t="s">
        <v>1562</v>
      </c>
      <c r="DI280" s="7" t="s">
        <v>540</v>
      </c>
      <c r="DJ280" s="7" t="s">
        <v>571</v>
      </c>
      <c r="DK280" s="7" t="s">
        <v>572</v>
      </c>
      <c r="DL280" s="7" t="s">
        <v>570</v>
      </c>
      <c r="DQ280" s="7" t="s">
        <v>1557</v>
      </c>
      <c r="DR280" s="7" t="s">
        <v>1555</v>
      </c>
      <c r="EL280" s="822" t="s">
        <v>1561</v>
      </c>
      <c r="EM280" s="312" t="s">
        <v>1559</v>
      </c>
      <c r="EN280" s="268" t="s">
        <v>1560</v>
      </c>
      <c r="EO280" s="268">
        <v>0</v>
      </c>
      <c r="EP280" s="323">
        <v>100</v>
      </c>
      <c r="EQ280" s="323">
        <v>17</v>
      </c>
      <c r="ER280" s="270">
        <v>50</v>
      </c>
      <c r="ES280" s="323">
        <v>17</v>
      </c>
      <c r="ET280" s="819">
        <v>16</v>
      </c>
    </row>
    <row r="281" spans="1:150" ht="104.25" customHeight="1" x14ac:dyDescent="0.2">
      <c r="A281" s="763" t="s">
        <v>103</v>
      </c>
      <c r="B281" s="424" t="s">
        <v>104</v>
      </c>
      <c r="C281" s="425" t="s">
        <v>1452</v>
      </c>
      <c r="D281" s="426" t="s">
        <v>1563</v>
      </c>
      <c r="E281" s="3" t="s">
        <v>530</v>
      </c>
      <c r="F281" s="427" t="str">
        <f t="shared" si="202"/>
        <v>E4.P_C</v>
      </c>
      <c r="G281" s="428" t="s">
        <v>413</v>
      </c>
      <c r="H281" s="473" t="s">
        <v>581</v>
      </c>
      <c r="I281" s="399" t="s">
        <v>1564</v>
      </c>
      <c r="J281" s="430" t="s">
        <v>61</v>
      </c>
      <c r="K281" s="393" t="str">
        <f t="shared" si="203"/>
        <v>E4.P_C.MR1</v>
      </c>
      <c r="L281" s="355" t="s">
        <v>561</v>
      </c>
      <c r="M281" s="356" t="s">
        <v>1565</v>
      </c>
      <c r="N281" s="357">
        <v>13959</v>
      </c>
      <c r="O281" s="241">
        <v>15355</v>
      </c>
      <c r="P281" s="359" t="s">
        <v>64</v>
      </c>
      <c r="Q281" s="781" t="str">
        <f t="shared" si="204"/>
        <v>E4.P_C.MR1-MP01-1</v>
      </c>
      <c r="R281" s="501" t="s">
        <v>1566</v>
      </c>
      <c r="S281" s="502" t="s">
        <v>1567</v>
      </c>
      <c r="T281" s="363">
        <v>32</v>
      </c>
      <c r="U281" s="364">
        <v>32</v>
      </c>
      <c r="V281" s="363" t="s">
        <v>102</v>
      </c>
      <c r="W281" s="249">
        <v>32</v>
      </c>
      <c r="X281" s="365">
        <v>32</v>
      </c>
      <c r="Y281" s="249">
        <v>32</v>
      </c>
      <c r="Z281" s="366">
        <v>32</v>
      </c>
      <c r="AA281" s="585">
        <f>26000000</f>
        <v>26000000</v>
      </c>
      <c r="AB281" s="586">
        <v>0</v>
      </c>
      <c r="AC281" s="586">
        <v>100000000</v>
      </c>
      <c r="AD281" s="586">
        <v>0</v>
      </c>
      <c r="AE281" s="586">
        <v>0</v>
      </c>
      <c r="AF281" s="586">
        <v>0</v>
      </c>
      <c r="AG281" s="586">
        <f t="shared" ref="AG281" si="209">SUM(AA281:AF281)</f>
        <v>126000000</v>
      </c>
      <c r="AH281" s="586">
        <f t="shared" ref="AH281:AM281" si="210">AA281*1.035</f>
        <v>26909999.999999996</v>
      </c>
      <c r="AI281" s="586">
        <f t="shared" si="210"/>
        <v>0</v>
      </c>
      <c r="AJ281" s="586">
        <f t="shared" si="210"/>
        <v>103499999.99999999</v>
      </c>
      <c r="AK281" s="586">
        <f t="shared" si="210"/>
        <v>0</v>
      </c>
      <c r="AL281" s="586">
        <f t="shared" si="210"/>
        <v>0</v>
      </c>
      <c r="AM281" s="586">
        <f t="shared" si="210"/>
        <v>0</v>
      </c>
      <c r="AN281" s="586">
        <f t="shared" ref="AN281" si="211">SUM(AH281:AM281)</f>
        <v>130409999.99999999</v>
      </c>
      <c r="AO281" s="586">
        <f t="shared" ref="AO281:BA281" si="212">AH281*1.035</f>
        <v>27851849.999999993</v>
      </c>
      <c r="AP281" s="586">
        <f t="shared" si="212"/>
        <v>0</v>
      </c>
      <c r="AQ281" s="586">
        <f t="shared" si="212"/>
        <v>107122499.99999997</v>
      </c>
      <c r="AR281" s="586">
        <f t="shared" si="212"/>
        <v>0</v>
      </c>
      <c r="AS281" s="586">
        <f t="shared" si="212"/>
        <v>0</v>
      </c>
      <c r="AT281" s="586">
        <f t="shared" si="212"/>
        <v>0</v>
      </c>
      <c r="AU281" s="586">
        <f t="shared" si="212"/>
        <v>134974349.99999997</v>
      </c>
      <c r="AV281" s="586">
        <f t="shared" si="212"/>
        <v>28826664.749999989</v>
      </c>
      <c r="AW281" s="586">
        <f t="shared" si="212"/>
        <v>0</v>
      </c>
      <c r="AX281" s="586">
        <f t="shared" si="212"/>
        <v>110871787.49999996</v>
      </c>
      <c r="AY281" s="586">
        <f t="shared" si="212"/>
        <v>0</v>
      </c>
      <c r="AZ281" s="586">
        <f t="shared" si="212"/>
        <v>0</v>
      </c>
      <c r="BA281" s="586">
        <f t="shared" si="212"/>
        <v>0</v>
      </c>
      <c r="BB281" s="586">
        <f t="shared" ref="BB281" si="213">SUM(AV281:BA281)</f>
        <v>139698452.24999994</v>
      </c>
      <c r="BC281" s="654">
        <f t="shared" ref="BC281" si="214">+BB281+AU281+AN281+AG281</f>
        <v>531082802.24999988</v>
      </c>
      <c r="BD281" s="295" t="s">
        <v>1458</v>
      </c>
      <c r="BS281" s="86" t="s">
        <v>553</v>
      </c>
      <c r="BT281" s="86" t="s">
        <v>554</v>
      </c>
      <c r="BU281" s="87" t="s">
        <v>1561</v>
      </c>
      <c r="BV281" s="84" t="s">
        <v>1559</v>
      </c>
      <c r="DH281" s="7" t="s">
        <v>1569</v>
      </c>
      <c r="DI281" s="7" t="s">
        <v>540</v>
      </c>
      <c r="DJ281" s="7" t="s">
        <v>571</v>
      </c>
      <c r="DK281" s="7" t="s">
        <v>572</v>
      </c>
      <c r="DL281" s="7" t="s">
        <v>570</v>
      </c>
      <c r="DQ281" s="7" t="s">
        <v>1561</v>
      </c>
      <c r="DR281" s="7" t="s">
        <v>1559</v>
      </c>
      <c r="EL281" s="822" t="s">
        <v>1568</v>
      </c>
      <c r="EM281" s="312" t="s">
        <v>1566</v>
      </c>
      <c r="EN281" s="268" t="s">
        <v>1567</v>
      </c>
      <c r="EO281" s="268">
        <v>32</v>
      </c>
      <c r="EP281" s="268">
        <v>32</v>
      </c>
      <c r="EQ281" s="269">
        <v>32</v>
      </c>
      <c r="ER281" s="269">
        <v>32</v>
      </c>
      <c r="ES281" s="269">
        <v>32</v>
      </c>
      <c r="ET281" s="820">
        <v>32</v>
      </c>
    </row>
    <row r="282" spans="1:150" ht="57" customHeight="1" thickBot="1" x14ac:dyDescent="0.25">
      <c r="A282" s="763" t="s">
        <v>103</v>
      </c>
      <c r="B282" s="424" t="s">
        <v>104</v>
      </c>
      <c r="C282" s="425" t="s">
        <v>1452</v>
      </c>
      <c r="D282" s="425"/>
      <c r="E282" s="8" t="s">
        <v>530</v>
      </c>
      <c r="F282" s="275" t="str">
        <f t="shared" si="202"/>
        <v>E4.P_C</v>
      </c>
      <c r="G282" s="560" t="s">
        <v>413</v>
      </c>
      <c r="H282" s="560" t="s">
        <v>581</v>
      </c>
      <c r="I282" s="442"/>
      <c r="J282" s="335" t="s">
        <v>61</v>
      </c>
      <c r="K282" s="395" t="str">
        <f t="shared" si="203"/>
        <v>E4.P_C.MR1</v>
      </c>
      <c r="L282" s="420" t="s">
        <v>561</v>
      </c>
      <c r="M282" s="421" t="s">
        <v>1565</v>
      </c>
      <c r="N282" s="383">
        <v>13959</v>
      </c>
      <c r="O282" s="422">
        <v>15355</v>
      </c>
      <c r="P282" s="385" t="s">
        <v>87</v>
      </c>
      <c r="Q282" s="386" t="str">
        <f t="shared" si="204"/>
        <v>E4.P_C.MR1-MP02-1</v>
      </c>
      <c r="R282" s="471" t="s">
        <v>1570</v>
      </c>
      <c r="S282" s="331" t="s">
        <v>1571</v>
      </c>
      <c r="T282" s="345">
        <v>4</v>
      </c>
      <c r="U282" s="346">
        <v>5</v>
      </c>
      <c r="V282" s="345" t="s">
        <v>67</v>
      </c>
      <c r="W282" s="347">
        <v>1</v>
      </c>
      <c r="X282" s="348">
        <v>1</v>
      </c>
      <c r="Y282" s="347">
        <v>1</v>
      </c>
      <c r="Z282" s="349">
        <v>1</v>
      </c>
      <c r="AA282" s="292"/>
      <c r="AB282" s="293"/>
      <c r="AC282" s="293"/>
      <c r="AD282" s="293"/>
      <c r="AE282" s="293"/>
      <c r="AF282" s="293"/>
      <c r="AG282" s="293"/>
      <c r="AH282" s="293"/>
      <c r="AI282" s="293"/>
      <c r="AJ282" s="293"/>
      <c r="AK282" s="293"/>
      <c r="AL282" s="293"/>
      <c r="AM282" s="293"/>
      <c r="AN282" s="293"/>
      <c r="AO282" s="293"/>
      <c r="AP282" s="293"/>
      <c r="AQ282" s="293"/>
      <c r="AR282" s="293"/>
      <c r="AS282" s="293"/>
      <c r="AT282" s="293"/>
      <c r="AU282" s="293"/>
      <c r="AV282" s="293"/>
      <c r="AW282" s="293"/>
      <c r="AX282" s="293"/>
      <c r="AY282" s="293"/>
      <c r="AZ282" s="293"/>
      <c r="BA282" s="293"/>
      <c r="BB282" s="293"/>
      <c r="BC282" s="294"/>
      <c r="BD282" s="295" t="s">
        <v>1458</v>
      </c>
      <c r="BS282" s="84" t="s">
        <v>560</v>
      </c>
      <c r="BT282" s="84" t="s">
        <v>561</v>
      </c>
      <c r="BU282" s="87" t="s">
        <v>1568</v>
      </c>
      <c r="BV282" s="84" t="s">
        <v>1566</v>
      </c>
      <c r="DH282" s="7" t="s">
        <v>1573</v>
      </c>
      <c r="DI282" s="7" t="s">
        <v>540</v>
      </c>
      <c r="DJ282" s="7" t="s">
        <v>580</v>
      </c>
      <c r="DK282" s="7" t="s">
        <v>581</v>
      </c>
      <c r="DL282" s="7" t="s">
        <v>579</v>
      </c>
      <c r="DQ282" s="7" t="s">
        <v>1568</v>
      </c>
      <c r="DR282" s="7" t="s">
        <v>1566</v>
      </c>
      <c r="EL282" s="822" t="s">
        <v>1572</v>
      </c>
      <c r="EM282" s="312" t="s">
        <v>1570</v>
      </c>
      <c r="EN282" s="268" t="s">
        <v>1571</v>
      </c>
      <c r="EO282" s="642">
        <v>4</v>
      </c>
      <c r="EP282" s="804">
        <v>5</v>
      </c>
      <c r="EQ282" s="803">
        <v>1</v>
      </c>
      <c r="ER282" s="803">
        <v>1</v>
      </c>
      <c r="ES282" s="803">
        <v>2</v>
      </c>
      <c r="ET282" s="830">
        <v>1</v>
      </c>
    </row>
    <row r="283" spans="1:150" ht="123.75" customHeight="1" x14ac:dyDescent="0.2">
      <c r="A283" s="763" t="s">
        <v>103</v>
      </c>
      <c r="B283" s="424" t="s">
        <v>104</v>
      </c>
      <c r="C283" s="425" t="s">
        <v>1452</v>
      </c>
      <c r="D283" s="426" t="s">
        <v>1174</v>
      </c>
      <c r="E283" s="3" t="s">
        <v>641</v>
      </c>
      <c r="F283" s="427" t="str">
        <f t="shared" si="202"/>
        <v>E4.P_D</v>
      </c>
      <c r="G283" s="428" t="s">
        <v>424</v>
      </c>
      <c r="H283" s="473" t="s">
        <v>589</v>
      </c>
      <c r="I283" s="399" t="s">
        <v>1574</v>
      </c>
      <c r="J283" s="430" t="s">
        <v>61</v>
      </c>
      <c r="K283" s="393" t="str">
        <f t="shared" si="203"/>
        <v>E4.P_D.MR1</v>
      </c>
      <c r="L283" s="355" t="s">
        <v>568</v>
      </c>
      <c r="M283" s="356" t="s">
        <v>1575</v>
      </c>
      <c r="N283" s="475">
        <v>1</v>
      </c>
      <c r="O283" s="475">
        <v>4</v>
      </c>
      <c r="P283" s="639" t="s">
        <v>64</v>
      </c>
      <c r="Q283" s="639" t="str">
        <f t="shared" si="204"/>
        <v>E4.P_D.MR1-MP01-1</v>
      </c>
      <c r="R283" s="617" t="s">
        <v>1576</v>
      </c>
      <c r="S283" s="515" t="s">
        <v>1577</v>
      </c>
      <c r="T283" s="516">
        <v>1</v>
      </c>
      <c r="U283" s="517">
        <v>1</v>
      </c>
      <c r="V283" s="516" t="s">
        <v>102</v>
      </c>
      <c r="W283" s="620">
        <v>0.5</v>
      </c>
      <c r="X283" s="621">
        <v>0.5</v>
      </c>
      <c r="Y283" s="518">
        <v>0</v>
      </c>
      <c r="Z283" s="664">
        <v>0</v>
      </c>
      <c r="AA283" s="585">
        <v>1364481705</v>
      </c>
      <c r="AB283" s="586">
        <v>0</v>
      </c>
      <c r="AC283" s="586">
        <v>100000000</v>
      </c>
      <c r="AD283" s="586">
        <v>0</v>
      </c>
      <c r="AE283" s="586">
        <v>0</v>
      </c>
      <c r="AF283" s="586">
        <v>420419925</v>
      </c>
      <c r="AG283" s="586">
        <f t="shared" ref="AG283" si="215">SUM(AA283:AF283)</f>
        <v>1884901630</v>
      </c>
      <c r="AH283" s="586">
        <v>1412238564.675</v>
      </c>
      <c r="AI283" s="586">
        <v>0</v>
      </c>
      <c r="AJ283" s="586">
        <v>103499999.99999999</v>
      </c>
      <c r="AK283" s="586">
        <v>0</v>
      </c>
      <c r="AL283" s="586">
        <v>0</v>
      </c>
      <c r="AM283" s="586">
        <f>+AF283*1.035</f>
        <v>435134622.37499994</v>
      </c>
      <c r="AN283" s="586">
        <f t="shared" ref="AN283" si="216">SUM(AH283:AM283)</f>
        <v>1950873187.05</v>
      </c>
      <c r="AO283" s="586">
        <v>1461666914.4386249</v>
      </c>
      <c r="AP283" s="586">
        <v>0</v>
      </c>
      <c r="AQ283" s="586">
        <v>107122499.99999997</v>
      </c>
      <c r="AR283" s="586">
        <v>0</v>
      </c>
      <c r="AS283" s="586">
        <v>0</v>
      </c>
      <c r="AT283" s="586">
        <f>+AM283*1.035</f>
        <v>450364334.15812492</v>
      </c>
      <c r="AU283" s="586">
        <f t="shared" ref="AU283" si="217">AN283*1.035</f>
        <v>2019153748.5967498</v>
      </c>
      <c r="AV283" s="586">
        <v>1512825256.4439769</v>
      </c>
      <c r="AW283" s="586">
        <v>0</v>
      </c>
      <c r="AX283" s="586">
        <v>110871787.49999996</v>
      </c>
      <c r="AY283" s="586">
        <v>0</v>
      </c>
      <c r="AZ283" s="586">
        <v>0</v>
      </c>
      <c r="BA283" s="586">
        <f>+AT283*1.035</f>
        <v>466127085.85365927</v>
      </c>
      <c r="BB283" s="586">
        <f t="shared" ref="BB283" si="218">SUM(AV283:BA283)</f>
        <v>2089824129.797636</v>
      </c>
      <c r="BC283" s="654">
        <f t="shared" ref="BC283" si="219">+BB283+AU283+AN283+AG283</f>
        <v>7944752695.4443855</v>
      </c>
      <c r="BD283" s="295" t="s">
        <v>1578</v>
      </c>
      <c r="BS283" s="86" t="s">
        <v>560</v>
      </c>
      <c r="BT283" s="86" t="s">
        <v>561</v>
      </c>
      <c r="BU283" s="87" t="s">
        <v>1572</v>
      </c>
      <c r="BV283" s="84" t="s">
        <v>1570</v>
      </c>
      <c r="DH283" s="7" t="s">
        <v>1580</v>
      </c>
      <c r="DI283" s="7" t="s">
        <v>540</v>
      </c>
      <c r="DJ283" s="7" t="s">
        <v>580</v>
      </c>
      <c r="DK283" s="7" t="s">
        <v>581</v>
      </c>
      <c r="DL283" s="7" t="s">
        <v>579</v>
      </c>
      <c r="DQ283" s="7" t="s">
        <v>1572</v>
      </c>
      <c r="DR283" s="7" t="s">
        <v>1570</v>
      </c>
      <c r="EL283" s="828" t="s">
        <v>1579</v>
      </c>
      <c r="EM283" s="312" t="s">
        <v>1576</v>
      </c>
      <c r="EN283" s="268" t="s">
        <v>1577</v>
      </c>
      <c r="EO283" s="268">
        <v>1</v>
      </c>
      <c r="EP283" s="268">
        <v>1</v>
      </c>
      <c r="EQ283" s="270">
        <v>0.5</v>
      </c>
      <c r="ER283" s="809">
        <v>0</v>
      </c>
      <c r="ES283" s="269">
        <v>0</v>
      </c>
      <c r="ET283" s="818">
        <v>0.5</v>
      </c>
    </row>
    <row r="284" spans="1:150" ht="39" customHeight="1" x14ac:dyDescent="0.2">
      <c r="A284" s="763" t="s">
        <v>103</v>
      </c>
      <c r="B284" s="424" t="s">
        <v>104</v>
      </c>
      <c r="C284" s="425" t="s">
        <v>1452</v>
      </c>
      <c r="D284" s="425"/>
      <c r="E284" s="8" t="s">
        <v>641</v>
      </c>
      <c r="F284" s="275" t="str">
        <f t="shared" si="202"/>
        <v>E4.P_D</v>
      </c>
      <c r="G284" s="448" t="s">
        <v>424</v>
      </c>
      <c r="H284" s="448" t="s">
        <v>589</v>
      </c>
      <c r="I284" s="438"/>
      <c r="J284" s="278" t="s">
        <v>61</v>
      </c>
      <c r="K284" s="279" t="str">
        <f t="shared" si="203"/>
        <v>E4.P_D.MR1</v>
      </c>
      <c r="L284" s="507" t="s">
        <v>568</v>
      </c>
      <c r="M284" s="508" t="s">
        <v>1575</v>
      </c>
      <c r="N284" s="487">
        <v>1</v>
      </c>
      <c r="O284" s="487">
        <v>4</v>
      </c>
      <c r="P284" s="488" t="s">
        <v>74</v>
      </c>
      <c r="Q284" s="488" t="str">
        <f t="shared" si="204"/>
        <v>E4.P_D.MR1-MP01-2</v>
      </c>
      <c r="R284" s="623" t="s">
        <v>1576</v>
      </c>
      <c r="S284" s="524" t="s">
        <v>1581</v>
      </c>
      <c r="T284" s="525">
        <v>1</v>
      </c>
      <c r="U284" s="526">
        <v>1</v>
      </c>
      <c r="V284" s="525" t="s">
        <v>102</v>
      </c>
      <c r="W284" s="529">
        <v>0</v>
      </c>
      <c r="X284" s="670">
        <v>1</v>
      </c>
      <c r="Y284" s="529">
        <v>0</v>
      </c>
      <c r="Z284" s="530">
        <v>0</v>
      </c>
      <c r="AA284" s="531"/>
      <c r="AB284" s="532"/>
      <c r="AC284" s="532"/>
      <c r="AD284" s="532"/>
      <c r="AE284" s="532"/>
      <c r="AF284" s="532"/>
      <c r="AG284" s="532"/>
      <c r="AH284" s="532"/>
      <c r="AI284" s="532"/>
      <c r="AJ284" s="532"/>
      <c r="AK284" s="532"/>
      <c r="AL284" s="532"/>
      <c r="AM284" s="532"/>
      <c r="AN284" s="532"/>
      <c r="AO284" s="532"/>
      <c r="AP284" s="532"/>
      <c r="AQ284" s="532"/>
      <c r="AR284" s="532"/>
      <c r="AS284" s="532"/>
      <c r="AT284" s="532"/>
      <c r="AU284" s="532"/>
      <c r="AV284" s="532"/>
      <c r="AW284" s="532"/>
      <c r="AX284" s="532"/>
      <c r="AY284" s="532"/>
      <c r="AZ284" s="532"/>
      <c r="BA284" s="532"/>
      <c r="BB284" s="532"/>
      <c r="BC284" s="533"/>
      <c r="BD284" s="295" t="s">
        <v>1578</v>
      </c>
      <c r="BS284" s="93" t="s">
        <v>567</v>
      </c>
      <c r="BT284" s="93" t="s">
        <v>568</v>
      </c>
      <c r="BU284" s="87" t="s">
        <v>1579</v>
      </c>
      <c r="BV284" s="84" t="s">
        <v>1576</v>
      </c>
      <c r="DH284" s="7" t="s">
        <v>1583</v>
      </c>
      <c r="DI284" s="7" t="s">
        <v>540</v>
      </c>
      <c r="DJ284" s="7" t="s">
        <v>588</v>
      </c>
      <c r="DK284" s="7" t="s">
        <v>589</v>
      </c>
      <c r="DL284" s="7" t="s">
        <v>587</v>
      </c>
      <c r="DQ284" s="7" t="s">
        <v>1579</v>
      </c>
      <c r="DR284" s="7" t="s">
        <v>1576</v>
      </c>
      <c r="EL284" s="828" t="s">
        <v>1582</v>
      </c>
      <c r="EM284" s="312" t="s">
        <v>1576</v>
      </c>
      <c r="EN284" s="268" t="s">
        <v>1581</v>
      </c>
      <c r="EO284" s="268">
        <v>1</v>
      </c>
      <c r="EP284" s="804">
        <v>1</v>
      </c>
      <c r="EQ284" s="803">
        <v>0</v>
      </c>
      <c r="ER284" s="808">
        <v>0</v>
      </c>
      <c r="ES284" s="803">
        <v>0</v>
      </c>
      <c r="ET284" s="824">
        <v>1</v>
      </c>
    </row>
    <row r="285" spans="1:150" ht="48.75" customHeight="1" x14ac:dyDescent="0.2">
      <c r="A285" s="763" t="s">
        <v>103</v>
      </c>
      <c r="B285" s="424" t="s">
        <v>104</v>
      </c>
      <c r="C285" s="425" t="s">
        <v>1452</v>
      </c>
      <c r="D285" s="425"/>
      <c r="E285" s="8" t="s">
        <v>641</v>
      </c>
      <c r="F285" s="275" t="str">
        <f t="shared" si="202"/>
        <v>E4.P_D</v>
      </c>
      <c r="G285" s="448" t="s">
        <v>424</v>
      </c>
      <c r="H285" s="448" t="s">
        <v>589</v>
      </c>
      <c r="I285" s="438"/>
      <c r="J285" s="278" t="s">
        <v>61</v>
      </c>
      <c r="K285" s="279" t="str">
        <f t="shared" si="203"/>
        <v>E4.P_D.MR1</v>
      </c>
      <c r="L285" s="507" t="s">
        <v>568</v>
      </c>
      <c r="M285" s="508" t="s">
        <v>1575</v>
      </c>
      <c r="N285" s="487">
        <v>1</v>
      </c>
      <c r="O285" s="487">
        <v>4</v>
      </c>
      <c r="P285" s="488" t="s">
        <v>87</v>
      </c>
      <c r="Q285" s="488" t="str">
        <f t="shared" si="204"/>
        <v>E4.P_D.MR1-MP02-1</v>
      </c>
      <c r="R285" s="523" t="s">
        <v>1584</v>
      </c>
      <c r="S285" s="690" t="s">
        <v>1585</v>
      </c>
      <c r="T285" s="735">
        <v>0.5</v>
      </c>
      <c r="U285" s="666">
        <v>1</v>
      </c>
      <c r="V285" s="665" t="s">
        <v>67</v>
      </c>
      <c r="W285" s="529">
        <v>0</v>
      </c>
      <c r="X285" s="528">
        <v>0.5</v>
      </c>
      <c r="Y285" s="540">
        <v>0.25</v>
      </c>
      <c r="Z285" s="542">
        <v>0.25</v>
      </c>
      <c r="AA285" s="667"/>
      <c r="AB285" s="668"/>
      <c r="AC285" s="668"/>
      <c r="AD285" s="668"/>
      <c r="AE285" s="668"/>
      <c r="AF285" s="668"/>
      <c r="AG285" s="668"/>
      <c r="AH285" s="668"/>
      <c r="AI285" s="668"/>
      <c r="AJ285" s="668"/>
      <c r="AK285" s="668"/>
      <c r="AL285" s="668"/>
      <c r="AM285" s="668"/>
      <c r="AN285" s="668"/>
      <c r="AO285" s="668"/>
      <c r="AP285" s="668"/>
      <c r="AQ285" s="668"/>
      <c r="AR285" s="668"/>
      <c r="AS285" s="668"/>
      <c r="AT285" s="668"/>
      <c r="AU285" s="668"/>
      <c r="AV285" s="668"/>
      <c r="AW285" s="668"/>
      <c r="AX285" s="668"/>
      <c r="AY285" s="668"/>
      <c r="AZ285" s="668"/>
      <c r="BA285" s="668"/>
      <c r="BB285" s="668"/>
      <c r="BC285" s="669"/>
      <c r="BD285" s="295" t="s">
        <v>1578</v>
      </c>
      <c r="BS285" s="86" t="s">
        <v>567</v>
      </c>
      <c r="BT285" s="86" t="s">
        <v>568</v>
      </c>
      <c r="BU285" s="87" t="s">
        <v>1582</v>
      </c>
      <c r="BV285" s="84" t="s">
        <v>1576</v>
      </c>
      <c r="DH285" s="7" t="s">
        <v>1587</v>
      </c>
      <c r="DI285" s="7" t="s">
        <v>540</v>
      </c>
      <c r="DJ285" s="7" t="s">
        <v>588</v>
      </c>
      <c r="DK285" s="7" t="s">
        <v>589</v>
      </c>
      <c r="DL285" s="7" t="s">
        <v>587</v>
      </c>
      <c r="DQ285" s="7" t="s">
        <v>1582</v>
      </c>
      <c r="DR285" s="7" t="s">
        <v>1576</v>
      </c>
      <c r="EL285" s="828" t="s">
        <v>1586</v>
      </c>
      <c r="EM285" s="817" t="s">
        <v>1584</v>
      </c>
      <c r="EN285" s="267" t="s">
        <v>1585</v>
      </c>
      <c r="EO285" s="647">
        <v>0.5</v>
      </c>
      <c r="EP285" s="380">
        <v>1</v>
      </c>
      <c r="EQ285" s="269">
        <v>0</v>
      </c>
      <c r="ER285" s="270">
        <v>0.5</v>
      </c>
      <c r="ES285" s="323">
        <v>0.25</v>
      </c>
      <c r="ET285" s="819">
        <v>0.25</v>
      </c>
    </row>
    <row r="286" spans="1:150" ht="50.25" customHeight="1" x14ac:dyDescent="0.2">
      <c r="A286" s="763" t="s">
        <v>103</v>
      </c>
      <c r="B286" s="424" t="s">
        <v>104</v>
      </c>
      <c r="C286" s="425" t="s">
        <v>1452</v>
      </c>
      <c r="D286" s="425"/>
      <c r="E286" s="8" t="s">
        <v>641</v>
      </c>
      <c r="F286" s="275" t="str">
        <f t="shared" si="202"/>
        <v>E4.P_D</v>
      </c>
      <c r="G286" s="448" t="s">
        <v>424</v>
      </c>
      <c r="H286" s="448" t="s">
        <v>589</v>
      </c>
      <c r="I286" s="438"/>
      <c r="J286" s="278" t="s">
        <v>61</v>
      </c>
      <c r="K286" s="279" t="str">
        <f t="shared" si="203"/>
        <v>E4.P_D.MR1</v>
      </c>
      <c r="L286" s="507" t="s">
        <v>568</v>
      </c>
      <c r="M286" s="508" t="s">
        <v>1575</v>
      </c>
      <c r="N286" s="487">
        <v>1</v>
      </c>
      <c r="O286" s="487">
        <v>4</v>
      </c>
      <c r="P286" s="488" t="s">
        <v>1271</v>
      </c>
      <c r="Q286" s="488" t="str">
        <f t="shared" si="204"/>
        <v>E4.P_D.MR1-MP02-2</v>
      </c>
      <c r="R286" s="523" t="s">
        <v>1584</v>
      </c>
      <c r="S286" s="690" t="s">
        <v>1588</v>
      </c>
      <c r="T286" s="525">
        <v>0.7</v>
      </c>
      <c r="U286" s="526">
        <v>1</v>
      </c>
      <c r="V286" s="525" t="s">
        <v>67</v>
      </c>
      <c r="W286" s="527">
        <v>0.5</v>
      </c>
      <c r="X286" s="528">
        <v>0.5</v>
      </c>
      <c r="Y286" s="529">
        <v>0</v>
      </c>
      <c r="Z286" s="530">
        <v>0</v>
      </c>
      <c r="AA286" s="531"/>
      <c r="AB286" s="532"/>
      <c r="AC286" s="532"/>
      <c r="AD286" s="532"/>
      <c r="AE286" s="532"/>
      <c r="AF286" s="532"/>
      <c r="AG286" s="532"/>
      <c r="AH286" s="532"/>
      <c r="AI286" s="532"/>
      <c r="AJ286" s="532"/>
      <c r="AK286" s="532"/>
      <c r="AL286" s="532"/>
      <c r="AM286" s="532"/>
      <c r="AN286" s="532"/>
      <c r="AO286" s="532"/>
      <c r="AP286" s="532"/>
      <c r="AQ286" s="532"/>
      <c r="AR286" s="532"/>
      <c r="AS286" s="532"/>
      <c r="AT286" s="532"/>
      <c r="AU286" s="532"/>
      <c r="AV286" s="532"/>
      <c r="AW286" s="532"/>
      <c r="AX286" s="532"/>
      <c r="AY286" s="532"/>
      <c r="AZ286" s="532"/>
      <c r="BA286" s="532"/>
      <c r="BB286" s="532"/>
      <c r="BC286" s="533"/>
      <c r="BD286" s="295" t="s">
        <v>1578</v>
      </c>
      <c r="BS286" s="86" t="s">
        <v>567</v>
      </c>
      <c r="BT286" s="86" t="s">
        <v>568</v>
      </c>
      <c r="BU286" s="87" t="s">
        <v>1586</v>
      </c>
      <c r="BV286" s="84" t="s">
        <v>1584</v>
      </c>
      <c r="DH286" s="7" t="s">
        <v>1590</v>
      </c>
      <c r="DI286" s="7" t="s">
        <v>540</v>
      </c>
      <c r="DJ286" s="7" t="s">
        <v>588</v>
      </c>
      <c r="DK286" s="7" t="s">
        <v>589</v>
      </c>
      <c r="DL286" s="7" t="s">
        <v>587</v>
      </c>
      <c r="DQ286" s="7" t="s">
        <v>1586</v>
      </c>
      <c r="DR286" s="7" t="s">
        <v>1584</v>
      </c>
      <c r="EL286" s="828" t="s">
        <v>1589</v>
      </c>
      <c r="EM286" s="817" t="s">
        <v>1584</v>
      </c>
      <c r="EN286" s="267" t="s">
        <v>1588</v>
      </c>
      <c r="EO286" s="268">
        <v>0.7</v>
      </c>
      <c r="EP286" s="268">
        <v>1</v>
      </c>
      <c r="EQ286" s="270">
        <v>0.5</v>
      </c>
      <c r="ER286" s="810">
        <v>0.25</v>
      </c>
      <c r="ES286" s="810">
        <v>0.25</v>
      </c>
      <c r="ET286" s="820">
        <v>0</v>
      </c>
    </row>
    <row r="287" spans="1:150" ht="37.5" customHeight="1" x14ac:dyDescent="0.2">
      <c r="A287" s="763" t="s">
        <v>103</v>
      </c>
      <c r="B287" s="424" t="s">
        <v>104</v>
      </c>
      <c r="C287" s="425" t="s">
        <v>1452</v>
      </c>
      <c r="D287" s="425"/>
      <c r="E287" s="8" t="s">
        <v>641</v>
      </c>
      <c r="F287" s="275" t="str">
        <f t="shared" si="202"/>
        <v>E4.P_D</v>
      </c>
      <c r="G287" s="448" t="s">
        <v>424</v>
      </c>
      <c r="H287" s="448" t="s">
        <v>589</v>
      </c>
      <c r="I287" s="438"/>
      <c r="J287" s="278" t="s">
        <v>61</v>
      </c>
      <c r="K287" s="279" t="str">
        <f t="shared" si="203"/>
        <v>E4.P_D.MR1</v>
      </c>
      <c r="L287" s="507" t="s">
        <v>568</v>
      </c>
      <c r="M287" s="508" t="s">
        <v>1575</v>
      </c>
      <c r="N287" s="487">
        <v>1</v>
      </c>
      <c r="O287" s="487">
        <v>4</v>
      </c>
      <c r="P287" s="488" t="s">
        <v>99</v>
      </c>
      <c r="Q287" s="488" t="str">
        <f t="shared" si="204"/>
        <v>E4.P_D.MR1-MP03-1</v>
      </c>
      <c r="R287" s="623" t="s">
        <v>1591</v>
      </c>
      <c r="S287" s="524" t="s">
        <v>1531</v>
      </c>
      <c r="T287" s="735">
        <v>0.5</v>
      </c>
      <c r="U287" s="666">
        <v>1</v>
      </c>
      <c r="V287" s="665" t="s">
        <v>67</v>
      </c>
      <c r="W287" s="540">
        <v>0.25</v>
      </c>
      <c r="X287" s="541">
        <v>0.25</v>
      </c>
      <c r="Y287" s="540">
        <v>0.25</v>
      </c>
      <c r="Z287" s="542">
        <v>0.25</v>
      </c>
      <c r="AA287" s="667"/>
      <c r="AB287" s="668"/>
      <c r="AC287" s="668"/>
      <c r="AD287" s="668"/>
      <c r="AE287" s="668"/>
      <c r="AF287" s="668"/>
      <c r="AG287" s="668"/>
      <c r="AH287" s="668"/>
      <c r="AI287" s="668"/>
      <c r="AJ287" s="668"/>
      <c r="AK287" s="668"/>
      <c r="AL287" s="668"/>
      <c r="AM287" s="668"/>
      <c r="AN287" s="668"/>
      <c r="AO287" s="668"/>
      <c r="AP287" s="668"/>
      <c r="AQ287" s="668"/>
      <c r="AR287" s="668"/>
      <c r="AS287" s="668"/>
      <c r="AT287" s="668"/>
      <c r="AU287" s="668"/>
      <c r="AV287" s="668"/>
      <c r="AW287" s="668"/>
      <c r="AX287" s="668"/>
      <c r="AY287" s="668"/>
      <c r="AZ287" s="668"/>
      <c r="BA287" s="668"/>
      <c r="BB287" s="668"/>
      <c r="BC287" s="669"/>
      <c r="BD287" s="295" t="s">
        <v>1578</v>
      </c>
      <c r="BS287" s="86" t="s">
        <v>567</v>
      </c>
      <c r="BT287" s="86" t="s">
        <v>568</v>
      </c>
      <c r="BU287" s="87" t="s">
        <v>1589</v>
      </c>
      <c r="BV287" s="84" t="s">
        <v>1584</v>
      </c>
      <c r="DH287" s="7" t="s">
        <v>1593</v>
      </c>
      <c r="DI287" s="7" t="s">
        <v>540</v>
      </c>
      <c r="DJ287" s="7" t="s">
        <v>588</v>
      </c>
      <c r="DK287" s="7" t="s">
        <v>589</v>
      </c>
      <c r="DL287" s="7" t="s">
        <v>587</v>
      </c>
      <c r="DQ287" s="7" t="s">
        <v>1589</v>
      </c>
      <c r="DR287" s="7" t="s">
        <v>1584</v>
      </c>
      <c r="EL287" s="828" t="s">
        <v>1592</v>
      </c>
      <c r="EM287" s="312" t="s">
        <v>1591</v>
      </c>
      <c r="EN287" s="268" t="s">
        <v>1531</v>
      </c>
      <c r="EO287" s="647">
        <v>0.5</v>
      </c>
      <c r="EP287" s="380">
        <v>1</v>
      </c>
      <c r="EQ287" s="323">
        <v>0.25</v>
      </c>
      <c r="ER287" s="323">
        <v>0.25</v>
      </c>
      <c r="ES287" s="323">
        <v>0.25</v>
      </c>
      <c r="ET287" s="819">
        <v>0.25</v>
      </c>
    </row>
    <row r="288" spans="1:150" ht="37.5" customHeight="1" x14ac:dyDescent="0.2">
      <c r="A288" s="763" t="s">
        <v>103</v>
      </c>
      <c r="B288" s="424" t="s">
        <v>104</v>
      </c>
      <c r="C288" s="425" t="s">
        <v>1452</v>
      </c>
      <c r="D288" s="425"/>
      <c r="E288" s="8" t="s">
        <v>641</v>
      </c>
      <c r="F288" s="275" t="str">
        <f t="shared" si="202"/>
        <v>E4.P_D</v>
      </c>
      <c r="G288" s="448" t="s">
        <v>424</v>
      </c>
      <c r="H288" s="448" t="s">
        <v>589</v>
      </c>
      <c r="I288" s="438"/>
      <c r="J288" s="278" t="s">
        <v>61</v>
      </c>
      <c r="K288" s="279" t="str">
        <f t="shared" si="203"/>
        <v>E4.P_D.MR1</v>
      </c>
      <c r="L288" s="507" t="s">
        <v>568</v>
      </c>
      <c r="M288" s="508" t="s">
        <v>1575</v>
      </c>
      <c r="N288" s="487">
        <v>1</v>
      </c>
      <c r="O288" s="487">
        <v>4</v>
      </c>
      <c r="P288" s="488" t="s">
        <v>112</v>
      </c>
      <c r="Q288" s="488" t="str">
        <f t="shared" si="204"/>
        <v>E4.P_D.MR1-MP04-1</v>
      </c>
      <c r="R288" s="523" t="s">
        <v>1594</v>
      </c>
      <c r="S288" s="690" t="s">
        <v>1595</v>
      </c>
      <c r="T288" s="665">
        <v>1</v>
      </c>
      <c r="U288" s="666">
        <v>4</v>
      </c>
      <c r="V288" s="665" t="s">
        <v>67</v>
      </c>
      <c r="W288" s="529">
        <v>1</v>
      </c>
      <c r="X288" s="670">
        <v>1</v>
      </c>
      <c r="Y288" s="529">
        <v>1</v>
      </c>
      <c r="Z288" s="530">
        <v>1</v>
      </c>
      <c r="AA288" s="667"/>
      <c r="AB288" s="668"/>
      <c r="AC288" s="668"/>
      <c r="AD288" s="668"/>
      <c r="AE288" s="668"/>
      <c r="AF288" s="668"/>
      <c r="AG288" s="668"/>
      <c r="AH288" s="668"/>
      <c r="AI288" s="668"/>
      <c r="AJ288" s="668"/>
      <c r="AK288" s="668"/>
      <c r="AL288" s="668"/>
      <c r="AM288" s="668"/>
      <c r="AN288" s="668"/>
      <c r="AO288" s="668"/>
      <c r="AP288" s="668"/>
      <c r="AQ288" s="668"/>
      <c r="AR288" s="668"/>
      <c r="AS288" s="668"/>
      <c r="AT288" s="668"/>
      <c r="AU288" s="668"/>
      <c r="AV288" s="668"/>
      <c r="AW288" s="668"/>
      <c r="AX288" s="668"/>
      <c r="AY288" s="668"/>
      <c r="AZ288" s="668"/>
      <c r="BA288" s="668"/>
      <c r="BB288" s="668"/>
      <c r="BC288" s="669"/>
      <c r="BD288" s="295" t="s">
        <v>1578</v>
      </c>
      <c r="BS288" s="86" t="s">
        <v>567</v>
      </c>
      <c r="BT288" s="86" t="s">
        <v>568</v>
      </c>
      <c r="BU288" s="87" t="s">
        <v>1592</v>
      </c>
      <c r="BV288" s="84" t="s">
        <v>1591</v>
      </c>
      <c r="DH288" s="7" t="s">
        <v>1597</v>
      </c>
      <c r="DI288" s="7" t="s">
        <v>540</v>
      </c>
      <c r="DJ288" s="7" t="s">
        <v>588</v>
      </c>
      <c r="DK288" s="7" t="s">
        <v>589</v>
      </c>
      <c r="DL288" s="7" t="s">
        <v>587</v>
      </c>
      <c r="DQ288" s="7" t="s">
        <v>1592</v>
      </c>
      <c r="DR288" s="7" t="s">
        <v>1591</v>
      </c>
      <c r="EL288" s="828" t="s">
        <v>1596</v>
      </c>
      <c r="EM288" s="817" t="s">
        <v>1594</v>
      </c>
      <c r="EN288" s="267" t="s">
        <v>1595</v>
      </c>
      <c r="EO288" s="380">
        <v>1</v>
      </c>
      <c r="EP288" s="380">
        <v>4</v>
      </c>
      <c r="EQ288" s="269">
        <v>1</v>
      </c>
      <c r="ER288" s="269">
        <v>1</v>
      </c>
      <c r="ES288" s="269">
        <v>1</v>
      </c>
      <c r="ET288" s="820">
        <v>1</v>
      </c>
    </row>
    <row r="289" spans="1:150" ht="35.25" customHeight="1" x14ac:dyDescent="0.2">
      <c r="A289" s="763" t="s">
        <v>103</v>
      </c>
      <c r="B289" s="424" t="s">
        <v>104</v>
      </c>
      <c r="C289" s="425" t="s">
        <v>1452</v>
      </c>
      <c r="D289" s="425"/>
      <c r="E289" s="8" t="s">
        <v>641</v>
      </c>
      <c r="F289" s="275" t="str">
        <f t="shared" si="202"/>
        <v>E4.P_D</v>
      </c>
      <c r="G289" s="448" t="s">
        <v>424</v>
      </c>
      <c r="H289" s="448" t="s">
        <v>589</v>
      </c>
      <c r="I289" s="438"/>
      <c r="J289" s="278" t="s">
        <v>61</v>
      </c>
      <c r="K289" s="279" t="str">
        <f t="shared" si="203"/>
        <v>E4.P_D.MR1</v>
      </c>
      <c r="L289" s="507" t="s">
        <v>568</v>
      </c>
      <c r="M289" s="508" t="s">
        <v>1575</v>
      </c>
      <c r="N289" s="487">
        <v>1</v>
      </c>
      <c r="O289" s="487">
        <v>4</v>
      </c>
      <c r="P289" s="488" t="s">
        <v>1364</v>
      </c>
      <c r="Q289" s="488" t="str">
        <f t="shared" si="204"/>
        <v>E4.P_D.MR1-MP04-2</v>
      </c>
      <c r="R289" s="523" t="s">
        <v>1594</v>
      </c>
      <c r="S289" s="690" t="s">
        <v>1598</v>
      </c>
      <c r="T289" s="665">
        <v>1</v>
      </c>
      <c r="U289" s="666">
        <v>4</v>
      </c>
      <c r="V289" s="665" t="s">
        <v>67</v>
      </c>
      <c r="W289" s="529">
        <v>1</v>
      </c>
      <c r="X289" s="670">
        <v>1</v>
      </c>
      <c r="Y289" s="529">
        <v>1</v>
      </c>
      <c r="Z289" s="530">
        <v>1</v>
      </c>
      <c r="AA289" s="667"/>
      <c r="AB289" s="668"/>
      <c r="AC289" s="668"/>
      <c r="AD289" s="668"/>
      <c r="AE289" s="668"/>
      <c r="AF289" s="668"/>
      <c r="AG289" s="668"/>
      <c r="AH289" s="668"/>
      <c r="AI289" s="668"/>
      <c r="AJ289" s="668"/>
      <c r="AK289" s="668"/>
      <c r="AL289" s="668"/>
      <c r="AM289" s="668"/>
      <c r="AN289" s="668"/>
      <c r="AO289" s="668"/>
      <c r="AP289" s="668"/>
      <c r="AQ289" s="668"/>
      <c r="AR289" s="668"/>
      <c r="AS289" s="668"/>
      <c r="AT289" s="668"/>
      <c r="AU289" s="668"/>
      <c r="AV289" s="668"/>
      <c r="AW289" s="668"/>
      <c r="AX289" s="668"/>
      <c r="AY289" s="668"/>
      <c r="AZ289" s="668"/>
      <c r="BA289" s="668"/>
      <c r="BB289" s="668"/>
      <c r="BC289" s="669"/>
      <c r="BD289" s="295" t="s">
        <v>1578</v>
      </c>
      <c r="BS289" s="86" t="s">
        <v>567</v>
      </c>
      <c r="BT289" s="86" t="s">
        <v>568</v>
      </c>
      <c r="BU289" s="87" t="s">
        <v>1596</v>
      </c>
      <c r="BV289" s="84" t="s">
        <v>1594</v>
      </c>
      <c r="DH289" s="7" t="s">
        <v>1600</v>
      </c>
      <c r="DI289" s="7" t="s">
        <v>540</v>
      </c>
      <c r="DJ289" s="7" t="s">
        <v>588</v>
      </c>
      <c r="DK289" s="7" t="s">
        <v>589</v>
      </c>
      <c r="DL289" s="7" t="s">
        <v>587</v>
      </c>
      <c r="DQ289" s="7" t="s">
        <v>1596</v>
      </c>
      <c r="DR289" s="7" t="s">
        <v>1594</v>
      </c>
      <c r="EL289" s="828" t="s">
        <v>1599</v>
      </c>
      <c r="EM289" s="817" t="s">
        <v>1594</v>
      </c>
      <c r="EN289" s="267" t="s">
        <v>1598</v>
      </c>
      <c r="EO289" s="380">
        <v>1</v>
      </c>
      <c r="EP289" s="380">
        <v>4</v>
      </c>
      <c r="EQ289" s="269">
        <v>1</v>
      </c>
      <c r="ER289" s="269">
        <v>1</v>
      </c>
      <c r="ES289" s="269">
        <v>1</v>
      </c>
      <c r="ET289" s="820">
        <v>1</v>
      </c>
    </row>
    <row r="290" spans="1:150" ht="48.75" customHeight="1" x14ac:dyDescent="0.2">
      <c r="A290" s="763" t="s">
        <v>103</v>
      </c>
      <c r="B290" s="424" t="s">
        <v>104</v>
      </c>
      <c r="C290" s="425" t="s">
        <v>1452</v>
      </c>
      <c r="D290" s="425"/>
      <c r="E290" s="8" t="s">
        <v>641</v>
      </c>
      <c r="F290" s="275" t="str">
        <f t="shared" si="202"/>
        <v>E4.P_D</v>
      </c>
      <c r="G290" s="448" t="s">
        <v>424</v>
      </c>
      <c r="H290" s="448" t="s">
        <v>589</v>
      </c>
      <c r="I290" s="438"/>
      <c r="J290" s="278" t="s">
        <v>61</v>
      </c>
      <c r="K290" s="279" t="str">
        <f t="shared" si="203"/>
        <v>E4.P_D.MR1</v>
      </c>
      <c r="L290" s="507" t="s">
        <v>568</v>
      </c>
      <c r="M290" s="508" t="s">
        <v>1575</v>
      </c>
      <c r="N290" s="487">
        <v>1</v>
      </c>
      <c r="O290" s="487">
        <v>4</v>
      </c>
      <c r="P290" s="488" t="s">
        <v>122</v>
      </c>
      <c r="Q290" s="488" t="str">
        <f t="shared" si="204"/>
        <v>E4.P_D.MR1-MP05-1</v>
      </c>
      <c r="R290" s="523" t="s">
        <v>1601</v>
      </c>
      <c r="S290" s="690" t="s">
        <v>1602</v>
      </c>
      <c r="T290" s="665">
        <v>1</v>
      </c>
      <c r="U290" s="666">
        <v>4</v>
      </c>
      <c r="V290" s="665" t="s">
        <v>67</v>
      </c>
      <c r="W290" s="529">
        <v>1</v>
      </c>
      <c r="X290" s="670">
        <v>1</v>
      </c>
      <c r="Y290" s="529">
        <v>1</v>
      </c>
      <c r="Z290" s="530">
        <v>1</v>
      </c>
      <c r="AA290" s="667"/>
      <c r="AB290" s="668"/>
      <c r="AC290" s="668"/>
      <c r="AD290" s="668"/>
      <c r="AE290" s="668"/>
      <c r="AF290" s="668"/>
      <c r="AG290" s="668"/>
      <c r="AH290" s="668"/>
      <c r="AI290" s="668"/>
      <c r="AJ290" s="668"/>
      <c r="AK290" s="668"/>
      <c r="AL290" s="668"/>
      <c r="AM290" s="668"/>
      <c r="AN290" s="668"/>
      <c r="AO290" s="668"/>
      <c r="AP290" s="668"/>
      <c r="AQ290" s="668"/>
      <c r="AR290" s="668"/>
      <c r="AS290" s="668"/>
      <c r="AT290" s="668"/>
      <c r="AU290" s="668"/>
      <c r="AV290" s="668"/>
      <c r="AW290" s="668"/>
      <c r="AX290" s="668"/>
      <c r="AY290" s="668"/>
      <c r="AZ290" s="668"/>
      <c r="BA290" s="668"/>
      <c r="BB290" s="668"/>
      <c r="BC290" s="669"/>
      <c r="BD290" s="295" t="s">
        <v>1578</v>
      </c>
      <c r="BS290" s="86" t="s">
        <v>567</v>
      </c>
      <c r="BT290" s="86" t="s">
        <v>568</v>
      </c>
      <c r="BU290" s="87" t="s">
        <v>1599</v>
      </c>
      <c r="BV290" s="84" t="s">
        <v>1594</v>
      </c>
      <c r="DH290" s="7" t="s">
        <v>1604</v>
      </c>
      <c r="DI290" s="7" t="s">
        <v>540</v>
      </c>
      <c r="DJ290" s="7" t="s">
        <v>588</v>
      </c>
      <c r="DK290" s="7" t="s">
        <v>589</v>
      </c>
      <c r="DL290" s="7" t="s">
        <v>587</v>
      </c>
      <c r="DQ290" s="7" t="s">
        <v>1599</v>
      </c>
      <c r="DR290" s="7" t="s">
        <v>1594</v>
      </c>
      <c r="EL290" s="828" t="s">
        <v>1603</v>
      </c>
      <c r="EM290" s="817" t="s">
        <v>1601</v>
      </c>
      <c r="EN290" s="267" t="s">
        <v>1602</v>
      </c>
      <c r="EO290" s="380">
        <v>1</v>
      </c>
      <c r="EP290" s="380">
        <v>4</v>
      </c>
      <c r="EQ290" s="269">
        <v>1</v>
      </c>
      <c r="ER290" s="269">
        <v>1</v>
      </c>
      <c r="ES290" s="269">
        <v>1</v>
      </c>
      <c r="ET290" s="820">
        <v>1</v>
      </c>
    </row>
    <row r="291" spans="1:150" ht="47.25" customHeight="1" x14ac:dyDescent="0.2">
      <c r="A291" s="763" t="s">
        <v>103</v>
      </c>
      <c r="B291" s="424" t="s">
        <v>104</v>
      </c>
      <c r="C291" s="425" t="s">
        <v>1452</v>
      </c>
      <c r="D291" s="425"/>
      <c r="E291" s="8" t="s">
        <v>641</v>
      </c>
      <c r="F291" s="275" t="str">
        <f t="shared" si="202"/>
        <v>E4.P_D</v>
      </c>
      <c r="G291" s="448" t="s">
        <v>424</v>
      </c>
      <c r="H291" s="448" t="s">
        <v>589</v>
      </c>
      <c r="I291" s="438"/>
      <c r="J291" s="278" t="s">
        <v>61</v>
      </c>
      <c r="K291" s="279" t="str">
        <f t="shared" si="203"/>
        <v>E4.P_D.MR1</v>
      </c>
      <c r="L291" s="507" t="s">
        <v>568</v>
      </c>
      <c r="M291" s="508" t="s">
        <v>1575</v>
      </c>
      <c r="N291" s="487">
        <v>1</v>
      </c>
      <c r="O291" s="487">
        <v>4</v>
      </c>
      <c r="P291" s="488" t="s">
        <v>1415</v>
      </c>
      <c r="Q291" s="488" t="str">
        <f t="shared" si="204"/>
        <v>E4.P_D.MR1-MP05-2</v>
      </c>
      <c r="R291" s="523" t="s">
        <v>1601</v>
      </c>
      <c r="S291" s="690" t="s">
        <v>1605</v>
      </c>
      <c r="T291" s="665">
        <v>1</v>
      </c>
      <c r="U291" s="666">
        <v>4</v>
      </c>
      <c r="V291" s="665" t="s">
        <v>67</v>
      </c>
      <c r="W291" s="529">
        <v>1</v>
      </c>
      <c r="X291" s="670">
        <v>1</v>
      </c>
      <c r="Y291" s="529">
        <v>1</v>
      </c>
      <c r="Z291" s="530">
        <v>1</v>
      </c>
      <c r="AA291" s="667"/>
      <c r="AB291" s="668"/>
      <c r="AC291" s="668"/>
      <c r="AD291" s="668"/>
      <c r="AE291" s="668"/>
      <c r="AF291" s="668"/>
      <c r="AG291" s="668"/>
      <c r="AH291" s="668"/>
      <c r="AI291" s="668"/>
      <c r="AJ291" s="668"/>
      <c r="AK291" s="668"/>
      <c r="AL291" s="668"/>
      <c r="AM291" s="668"/>
      <c r="AN291" s="668"/>
      <c r="AO291" s="668"/>
      <c r="AP291" s="668"/>
      <c r="AQ291" s="668"/>
      <c r="AR291" s="668"/>
      <c r="AS291" s="668"/>
      <c r="AT291" s="668"/>
      <c r="AU291" s="668"/>
      <c r="AV291" s="668"/>
      <c r="AW291" s="668"/>
      <c r="AX291" s="668"/>
      <c r="AY291" s="668"/>
      <c r="AZ291" s="668"/>
      <c r="BA291" s="668"/>
      <c r="BB291" s="668"/>
      <c r="BC291" s="669"/>
      <c r="BD291" s="295" t="s">
        <v>1578</v>
      </c>
      <c r="BS291" s="86" t="s">
        <v>567</v>
      </c>
      <c r="BT291" s="86" t="s">
        <v>568</v>
      </c>
      <c r="BU291" s="87" t="s">
        <v>1603</v>
      </c>
      <c r="BV291" s="84" t="s">
        <v>1601</v>
      </c>
      <c r="DH291" s="7" t="s">
        <v>1607</v>
      </c>
      <c r="DI291" s="7" t="s">
        <v>540</v>
      </c>
      <c r="DJ291" s="7" t="s">
        <v>588</v>
      </c>
      <c r="DK291" s="7" t="s">
        <v>589</v>
      </c>
      <c r="DL291" s="7" t="s">
        <v>587</v>
      </c>
      <c r="DQ291" s="7" t="s">
        <v>1603</v>
      </c>
      <c r="DR291" s="7" t="s">
        <v>1601</v>
      </c>
      <c r="EL291" s="828" t="s">
        <v>1606</v>
      </c>
      <c r="EM291" s="817" t="s">
        <v>1601</v>
      </c>
      <c r="EN291" s="267" t="s">
        <v>1605</v>
      </c>
      <c r="EO291" s="380">
        <v>1</v>
      </c>
      <c r="EP291" s="380">
        <v>4</v>
      </c>
      <c r="EQ291" s="269">
        <v>1</v>
      </c>
      <c r="ER291" s="269">
        <v>1</v>
      </c>
      <c r="ES291" s="269">
        <v>1</v>
      </c>
      <c r="ET291" s="820">
        <v>1</v>
      </c>
    </row>
    <row r="292" spans="1:150" ht="50.25" customHeight="1" x14ac:dyDescent="0.2">
      <c r="A292" s="763" t="s">
        <v>103</v>
      </c>
      <c r="B292" s="424" t="s">
        <v>104</v>
      </c>
      <c r="C292" s="425" t="s">
        <v>1452</v>
      </c>
      <c r="D292" s="425"/>
      <c r="E292" s="8" t="s">
        <v>641</v>
      </c>
      <c r="F292" s="275" t="str">
        <f t="shared" si="202"/>
        <v>E4.P_D</v>
      </c>
      <c r="G292" s="448" t="s">
        <v>424</v>
      </c>
      <c r="H292" s="448" t="s">
        <v>589</v>
      </c>
      <c r="I292" s="438"/>
      <c r="J292" s="278" t="s">
        <v>61</v>
      </c>
      <c r="K292" s="279" t="str">
        <f t="shared" si="203"/>
        <v>E4.P_D.MR1</v>
      </c>
      <c r="L292" s="507" t="s">
        <v>568</v>
      </c>
      <c r="M292" s="508" t="s">
        <v>1575</v>
      </c>
      <c r="N292" s="487">
        <v>1</v>
      </c>
      <c r="O292" s="487">
        <v>4</v>
      </c>
      <c r="P292" s="488" t="s">
        <v>132</v>
      </c>
      <c r="Q292" s="488" t="str">
        <f t="shared" si="204"/>
        <v>E4.P_D.MR1-MP06-1</v>
      </c>
      <c r="R292" s="523" t="s">
        <v>1608</v>
      </c>
      <c r="S292" s="690" t="s">
        <v>1609</v>
      </c>
      <c r="T292" s="735">
        <v>0.5</v>
      </c>
      <c r="U292" s="666">
        <v>1</v>
      </c>
      <c r="V292" s="665" t="s">
        <v>67</v>
      </c>
      <c r="W292" s="540">
        <v>0.25</v>
      </c>
      <c r="X292" s="541">
        <v>0.25</v>
      </c>
      <c r="Y292" s="540">
        <v>0.25</v>
      </c>
      <c r="Z292" s="542">
        <v>0.25</v>
      </c>
      <c r="AA292" s="667"/>
      <c r="AB292" s="668"/>
      <c r="AC292" s="668"/>
      <c r="AD292" s="668"/>
      <c r="AE292" s="668"/>
      <c r="AF292" s="668"/>
      <c r="AG292" s="668"/>
      <c r="AH292" s="668"/>
      <c r="AI292" s="668"/>
      <c r="AJ292" s="668"/>
      <c r="AK292" s="668"/>
      <c r="AL292" s="668"/>
      <c r="AM292" s="668"/>
      <c r="AN292" s="668"/>
      <c r="AO292" s="668"/>
      <c r="AP292" s="668"/>
      <c r="AQ292" s="668"/>
      <c r="AR292" s="668"/>
      <c r="AS292" s="668"/>
      <c r="AT292" s="668"/>
      <c r="AU292" s="668"/>
      <c r="AV292" s="668"/>
      <c r="AW292" s="668"/>
      <c r="AX292" s="668"/>
      <c r="AY292" s="668"/>
      <c r="AZ292" s="668"/>
      <c r="BA292" s="668"/>
      <c r="BB292" s="668"/>
      <c r="BC292" s="669"/>
      <c r="BD292" s="295" t="s">
        <v>1578</v>
      </c>
      <c r="BS292" s="86" t="s">
        <v>567</v>
      </c>
      <c r="BT292" s="86" t="s">
        <v>568</v>
      </c>
      <c r="BU292" s="87" t="s">
        <v>1606</v>
      </c>
      <c r="BV292" s="84" t="s">
        <v>1601</v>
      </c>
      <c r="DH292" s="7" t="s">
        <v>1611</v>
      </c>
      <c r="DI292" s="7" t="s">
        <v>540</v>
      </c>
      <c r="DJ292" s="7" t="s">
        <v>588</v>
      </c>
      <c r="DK292" s="7" t="s">
        <v>589</v>
      </c>
      <c r="DL292" s="7" t="s">
        <v>587</v>
      </c>
      <c r="DQ292" s="7" t="s">
        <v>1606</v>
      </c>
      <c r="DR292" s="7" t="s">
        <v>1601</v>
      </c>
      <c r="EL292" s="828" t="s">
        <v>1610</v>
      </c>
      <c r="EM292" s="817" t="s">
        <v>1608</v>
      </c>
      <c r="EN292" s="267" t="s">
        <v>1609</v>
      </c>
      <c r="EO292" s="647">
        <v>0.5</v>
      </c>
      <c r="EP292" s="380">
        <v>1</v>
      </c>
      <c r="EQ292" s="323">
        <v>0.25</v>
      </c>
      <c r="ER292" s="323">
        <v>0.25</v>
      </c>
      <c r="ES292" s="323">
        <v>0.25</v>
      </c>
      <c r="ET292" s="819">
        <v>0.25</v>
      </c>
    </row>
    <row r="293" spans="1:150" ht="47.25" customHeight="1" x14ac:dyDescent="0.2">
      <c r="A293" s="763" t="s">
        <v>103</v>
      </c>
      <c r="B293" s="424" t="s">
        <v>104</v>
      </c>
      <c r="C293" s="425" t="s">
        <v>1452</v>
      </c>
      <c r="D293" s="425"/>
      <c r="E293" s="8" t="s">
        <v>641</v>
      </c>
      <c r="F293" s="275" t="str">
        <f t="shared" si="202"/>
        <v>E4.P_D</v>
      </c>
      <c r="G293" s="448" t="s">
        <v>424</v>
      </c>
      <c r="H293" s="448" t="s">
        <v>589</v>
      </c>
      <c r="I293" s="438"/>
      <c r="J293" s="278" t="s">
        <v>61</v>
      </c>
      <c r="K293" s="279" t="str">
        <f t="shared" si="203"/>
        <v>E4.P_D.MR1</v>
      </c>
      <c r="L293" s="507" t="s">
        <v>568</v>
      </c>
      <c r="M293" s="508" t="s">
        <v>1575</v>
      </c>
      <c r="N293" s="487">
        <v>1</v>
      </c>
      <c r="O293" s="487">
        <v>4</v>
      </c>
      <c r="P293" s="488" t="s">
        <v>1380</v>
      </c>
      <c r="Q293" s="488" t="str">
        <f t="shared" si="204"/>
        <v>E4.P_D.MR1-MP06-2</v>
      </c>
      <c r="R293" s="523" t="s">
        <v>1612</v>
      </c>
      <c r="S293" s="690" t="s">
        <v>1613</v>
      </c>
      <c r="T293" s="735">
        <v>0.5</v>
      </c>
      <c r="U293" s="666">
        <v>1</v>
      </c>
      <c r="V293" s="665" t="s">
        <v>67</v>
      </c>
      <c r="W293" s="540">
        <v>0.25</v>
      </c>
      <c r="X293" s="541">
        <v>0.25</v>
      </c>
      <c r="Y293" s="540">
        <v>0.25</v>
      </c>
      <c r="Z293" s="542">
        <v>0.25</v>
      </c>
      <c r="AA293" s="667"/>
      <c r="AB293" s="668"/>
      <c r="AC293" s="668"/>
      <c r="AD293" s="668"/>
      <c r="AE293" s="668"/>
      <c r="AF293" s="668"/>
      <c r="AG293" s="668"/>
      <c r="AH293" s="668"/>
      <c r="AI293" s="668"/>
      <c r="AJ293" s="668"/>
      <c r="AK293" s="668"/>
      <c r="AL293" s="668"/>
      <c r="AM293" s="668"/>
      <c r="AN293" s="668"/>
      <c r="AO293" s="668"/>
      <c r="AP293" s="668"/>
      <c r="AQ293" s="668"/>
      <c r="AR293" s="668"/>
      <c r="AS293" s="668"/>
      <c r="AT293" s="668"/>
      <c r="AU293" s="668"/>
      <c r="AV293" s="668"/>
      <c r="AW293" s="668"/>
      <c r="AX293" s="668"/>
      <c r="AY293" s="668"/>
      <c r="AZ293" s="668"/>
      <c r="BA293" s="668"/>
      <c r="BB293" s="668"/>
      <c r="BC293" s="669"/>
      <c r="BD293" s="295" t="s">
        <v>1578</v>
      </c>
      <c r="BS293" s="86" t="s">
        <v>567</v>
      </c>
      <c r="BT293" s="86" t="s">
        <v>568</v>
      </c>
      <c r="BU293" s="87" t="s">
        <v>1610</v>
      </c>
      <c r="BV293" s="84" t="s">
        <v>1608</v>
      </c>
      <c r="DH293" s="7" t="s">
        <v>1615</v>
      </c>
      <c r="DI293" s="7" t="s">
        <v>540</v>
      </c>
      <c r="DJ293" s="7" t="s">
        <v>588</v>
      </c>
      <c r="DK293" s="7" t="s">
        <v>589</v>
      </c>
      <c r="DL293" s="7" t="s">
        <v>587</v>
      </c>
      <c r="DQ293" s="7" t="s">
        <v>1610</v>
      </c>
      <c r="DR293" s="7" t="s">
        <v>1608</v>
      </c>
      <c r="EL293" s="828" t="s">
        <v>1614</v>
      </c>
      <c r="EM293" s="817" t="s">
        <v>1612</v>
      </c>
      <c r="EN293" s="267" t="s">
        <v>1613</v>
      </c>
      <c r="EO293" s="647">
        <v>0.5</v>
      </c>
      <c r="EP293" s="380">
        <v>1</v>
      </c>
      <c r="EQ293" s="323">
        <v>0.25</v>
      </c>
      <c r="ER293" s="323">
        <v>0.25</v>
      </c>
      <c r="ES293" s="323">
        <v>0.25</v>
      </c>
      <c r="ET293" s="819">
        <v>0.25</v>
      </c>
    </row>
    <row r="294" spans="1:150" ht="46.5" customHeight="1" thickBot="1" x14ac:dyDescent="0.25">
      <c r="A294" s="763" t="s">
        <v>103</v>
      </c>
      <c r="B294" s="424" t="s">
        <v>104</v>
      </c>
      <c r="C294" s="425" t="s">
        <v>1452</v>
      </c>
      <c r="D294" s="425"/>
      <c r="E294" s="8" t="s">
        <v>641</v>
      </c>
      <c r="F294" s="275" t="str">
        <f t="shared" si="202"/>
        <v>E4.P_D</v>
      </c>
      <c r="G294" s="448" t="s">
        <v>424</v>
      </c>
      <c r="H294" s="448" t="s">
        <v>589</v>
      </c>
      <c r="I294" s="442"/>
      <c r="J294" s="335" t="s">
        <v>61</v>
      </c>
      <c r="K294" s="395" t="str">
        <f t="shared" si="203"/>
        <v>E4.P_D.MR1</v>
      </c>
      <c r="L294" s="543" t="s">
        <v>568</v>
      </c>
      <c r="M294" s="544" t="s">
        <v>1575</v>
      </c>
      <c r="N294" s="493">
        <v>1</v>
      </c>
      <c r="O294" s="493">
        <v>4</v>
      </c>
      <c r="P294" s="782" t="s">
        <v>142</v>
      </c>
      <c r="Q294" s="782" t="str">
        <f t="shared" si="204"/>
        <v>E4.P_D.MR1-MP07-1</v>
      </c>
      <c r="R294" s="624" t="s">
        <v>1616</v>
      </c>
      <c r="S294" s="547" t="s">
        <v>1617</v>
      </c>
      <c r="T294" s="672">
        <v>0</v>
      </c>
      <c r="U294" s="673">
        <v>1</v>
      </c>
      <c r="V294" s="672" t="s">
        <v>67</v>
      </c>
      <c r="W294" s="550">
        <v>0</v>
      </c>
      <c r="X294" s="551">
        <v>1</v>
      </c>
      <c r="Y294" s="550">
        <v>0</v>
      </c>
      <c r="Z294" s="552">
        <v>0</v>
      </c>
      <c r="AA294" s="667"/>
      <c r="AB294" s="668"/>
      <c r="AC294" s="668"/>
      <c r="AD294" s="668"/>
      <c r="AE294" s="668"/>
      <c r="AF294" s="668"/>
      <c r="AG294" s="668"/>
      <c r="AH294" s="668"/>
      <c r="AI294" s="668"/>
      <c r="AJ294" s="668"/>
      <c r="AK294" s="668"/>
      <c r="AL294" s="668"/>
      <c r="AM294" s="668"/>
      <c r="AN294" s="668"/>
      <c r="AO294" s="668"/>
      <c r="AP294" s="668"/>
      <c r="AQ294" s="668"/>
      <c r="AR294" s="668"/>
      <c r="AS294" s="668"/>
      <c r="AT294" s="668"/>
      <c r="AU294" s="668"/>
      <c r="AV294" s="668"/>
      <c r="AW294" s="668"/>
      <c r="AX294" s="668"/>
      <c r="AY294" s="668"/>
      <c r="AZ294" s="668"/>
      <c r="BA294" s="668"/>
      <c r="BB294" s="668"/>
      <c r="BC294" s="669"/>
      <c r="BD294" s="295" t="s">
        <v>1578</v>
      </c>
      <c r="BS294" s="86" t="s">
        <v>567</v>
      </c>
      <c r="BT294" s="86" t="s">
        <v>568</v>
      </c>
      <c r="BU294" s="87" t="s">
        <v>1614</v>
      </c>
      <c r="BV294" s="84" t="s">
        <v>1612</v>
      </c>
      <c r="DH294" s="7" t="s">
        <v>1619</v>
      </c>
      <c r="DI294" s="7" t="s">
        <v>540</v>
      </c>
      <c r="DJ294" s="7" t="s">
        <v>588</v>
      </c>
      <c r="DK294" s="7" t="s">
        <v>589</v>
      </c>
      <c r="DL294" s="7" t="s">
        <v>587</v>
      </c>
      <c r="DQ294" s="7" t="s">
        <v>1614</v>
      </c>
      <c r="DR294" s="7" t="s">
        <v>1612</v>
      </c>
      <c r="EL294" s="828" t="s">
        <v>1618</v>
      </c>
      <c r="EM294" s="312" t="s">
        <v>1616</v>
      </c>
      <c r="EN294" s="268" t="s">
        <v>1617</v>
      </c>
      <c r="EO294" s="380">
        <v>0</v>
      </c>
      <c r="EP294" s="380">
        <v>1</v>
      </c>
      <c r="EQ294" s="269">
        <v>0</v>
      </c>
      <c r="ER294" s="269">
        <v>1</v>
      </c>
      <c r="ES294" s="269">
        <v>0</v>
      </c>
      <c r="ET294" s="820">
        <v>0</v>
      </c>
    </row>
    <row r="295" spans="1:150" ht="109.5" customHeight="1" x14ac:dyDescent="0.2">
      <c r="A295" s="763" t="s">
        <v>103</v>
      </c>
      <c r="B295" s="424" t="s">
        <v>104</v>
      </c>
      <c r="C295" s="425" t="s">
        <v>1452</v>
      </c>
      <c r="D295" s="425"/>
      <c r="E295" s="8" t="s">
        <v>641</v>
      </c>
      <c r="F295" s="275" t="str">
        <f t="shared" si="202"/>
        <v>E4.P_D</v>
      </c>
      <c r="G295" s="448" t="s">
        <v>424</v>
      </c>
      <c r="H295" s="448" t="s">
        <v>589</v>
      </c>
      <c r="I295" s="399" t="s">
        <v>1620</v>
      </c>
      <c r="J295" s="430" t="s">
        <v>167</v>
      </c>
      <c r="K295" s="393" t="str">
        <f t="shared" si="203"/>
        <v>E4.P_D.MR2</v>
      </c>
      <c r="L295" s="355" t="s">
        <v>577</v>
      </c>
      <c r="M295" s="356" t="s">
        <v>1621</v>
      </c>
      <c r="N295" s="475">
        <v>0</v>
      </c>
      <c r="O295" s="475">
        <v>1</v>
      </c>
      <c r="P295" s="477" t="s">
        <v>64</v>
      </c>
      <c r="Q295" s="477" t="str">
        <f t="shared" si="204"/>
        <v>E4.P_D.MR2-MP01-1</v>
      </c>
      <c r="R295" s="412" t="s">
        <v>1622</v>
      </c>
      <c r="S295" s="362" t="s">
        <v>1621</v>
      </c>
      <c r="T295" s="363">
        <v>0</v>
      </c>
      <c r="U295" s="364">
        <v>1</v>
      </c>
      <c r="V295" s="363" t="s">
        <v>67</v>
      </c>
      <c r="W295" s="557">
        <v>0.25</v>
      </c>
      <c r="X295" s="558">
        <v>0.25</v>
      </c>
      <c r="Y295" s="557">
        <v>0.25</v>
      </c>
      <c r="Z295" s="559">
        <v>0.25</v>
      </c>
      <c r="AA295" s="292"/>
      <c r="AB295" s="293"/>
      <c r="AC295" s="293"/>
      <c r="AD295" s="293"/>
      <c r="AE295" s="293"/>
      <c r="AF295" s="293"/>
      <c r="AG295" s="293"/>
      <c r="AH295" s="293"/>
      <c r="AI295" s="293"/>
      <c r="AJ295" s="293"/>
      <c r="AK295" s="293"/>
      <c r="AL295" s="293"/>
      <c r="AM295" s="293"/>
      <c r="AN295" s="293"/>
      <c r="AO295" s="293"/>
      <c r="AP295" s="293"/>
      <c r="AQ295" s="293"/>
      <c r="AR295" s="293"/>
      <c r="AS295" s="293"/>
      <c r="AT295" s="293"/>
      <c r="AU295" s="293"/>
      <c r="AV295" s="293"/>
      <c r="AW295" s="293"/>
      <c r="AX295" s="293"/>
      <c r="AY295" s="293"/>
      <c r="AZ295" s="293"/>
      <c r="BA295" s="293"/>
      <c r="BB295" s="293"/>
      <c r="BC295" s="294"/>
      <c r="BD295" s="295" t="s">
        <v>1623</v>
      </c>
      <c r="BS295" s="86" t="s">
        <v>567</v>
      </c>
      <c r="BT295" s="86" t="s">
        <v>568</v>
      </c>
      <c r="BU295" s="87" t="s">
        <v>1618</v>
      </c>
      <c r="BV295" s="84" t="s">
        <v>1616</v>
      </c>
      <c r="DH295" s="7" t="s">
        <v>1625</v>
      </c>
      <c r="DI295" s="7" t="s">
        <v>540</v>
      </c>
      <c r="DJ295" s="7" t="s">
        <v>588</v>
      </c>
      <c r="DK295" s="7" t="s">
        <v>589</v>
      </c>
      <c r="DL295" s="7" t="s">
        <v>587</v>
      </c>
      <c r="DQ295" s="7" t="s">
        <v>1618</v>
      </c>
      <c r="DR295" s="7" t="s">
        <v>1616</v>
      </c>
      <c r="EL295" s="828" t="s">
        <v>1624</v>
      </c>
      <c r="EM295" s="312" t="s">
        <v>1622</v>
      </c>
      <c r="EN295" s="268" t="s">
        <v>1621</v>
      </c>
      <c r="EO295" s="268">
        <v>0</v>
      </c>
      <c r="EP295" s="268">
        <v>1</v>
      </c>
      <c r="EQ295" s="323">
        <v>0.25</v>
      </c>
      <c r="ER295" s="323">
        <v>0.25</v>
      </c>
      <c r="ES295" s="323">
        <v>0.25</v>
      </c>
      <c r="ET295" s="819">
        <v>0.25</v>
      </c>
    </row>
    <row r="296" spans="1:150" ht="40.5" customHeight="1" thickBot="1" x14ac:dyDescent="0.25">
      <c r="A296" s="763" t="s">
        <v>103</v>
      </c>
      <c r="B296" s="424" t="s">
        <v>104</v>
      </c>
      <c r="C296" s="425" t="s">
        <v>1452</v>
      </c>
      <c r="D296" s="425"/>
      <c r="E296" s="8" t="s">
        <v>641</v>
      </c>
      <c r="F296" s="275" t="str">
        <f t="shared" si="202"/>
        <v>E4.P_D</v>
      </c>
      <c r="G296" s="276" t="s">
        <v>424</v>
      </c>
      <c r="H296" s="276" t="s">
        <v>589</v>
      </c>
      <c r="I296" s="442"/>
      <c r="J296" s="335" t="s">
        <v>167</v>
      </c>
      <c r="K296" s="395" t="str">
        <f t="shared" si="203"/>
        <v>E4.P_D.MR2</v>
      </c>
      <c r="L296" s="420" t="s">
        <v>577</v>
      </c>
      <c r="M296" s="421" t="s">
        <v>1621</v>
      </c>
      <c r="N296" s="493">
        <v>0</v>
      </c>
      <c r="O296" s="493">
        <v>1</v>
      </c>
      <c r="P296" s="494" t="s">
        <v>87</v>
      </c>
      <c r="Q296" s="494" t="str">
        <f t="shared" si="204"/>
        <v>E4.P_D.MR2-MP02-1</v>
      </c>
      <c r="R296" s="471" t="s">
        <v>1626</v>
      </c>
      <c r="S296" s="331" t="s">
        <v>1627</v>
      </c>
      <c r="T296" s="387">
        <v>0</v>
      </c>
      <c r="U296" s="388">
        <v>1</v>
      </c>
      <c r="V296" s="387" t="s">
        <v>67</v>
      </c>
      <c r="W296" s="389">
        <v>0.25</v>
      </c>
      <c r="X296" s="390">
        <v>0.25</v>
      </c>
      <c r="Y296" s="389">
        <v>0.25</v>
      </c>
      <c r="Z296" s="391">
        <v>0.25</v>
      </c>
      <c r="AA296" s="377"/>
      <c r="AB296" s="378"/>
      <c r="AC296" s="378"/>
      <c r="AD296" s="378"/>
      <c r="AE296" s="378"/>
      <c r="AF296" s="378"/>
      <c r="AG296" s="378"/>
      <c r="AH296" s="378"/>
      <c r="AI296" s="378"/>
      <c r="AJ296" s="378"/>
      <c r="AK296" s="378"/>
      <c r="AL296" s="378"/>
      <c r="AM296" s="378"/>
      <c r="AN296" s="378"/>
      <c r="AO296" s="378"/>
      <c r="AP296" s="378"/>
      <c r="AQ296" s="378"/>
      <c r="AR296" s="378"/>
      <c r="AS296" s="378"/>
      <c r="AT296" s="378"/>
      <c r="AU296" s="378"/>
      <c r="AV296" s="378"/>
      <c r="AW296" s="378"/>
      <c r="AX296" s="378"/>
      <c r="AY296" s="378"/>
      <c r="AZ296" s="378"/>
      <c r="BA296" s="378"/>
      <c r="BB296" s="378"/>
      <c r="BC296" s="379"/>
      <c r="BD296" s="295" t="s">
        <v>1623</v>
      </c>
      <c r="BS296" s="84" t="s">
        <v>576</v>
      </c>
      <c r="BT296" s="84" t="s">
        <v>577</v>
      </c>
      <c r="BU296" s="87" t="s">
        <v>1624</v>
      </c>
      <c r="BV296" s="84" t="s">
        <v>1622</v>
      </c>
      <c r="DH296" s="7" t="s">
        <v>1629</v>
      </c>
      <c r="DI296" s="7" t="s">
        <v>540</v>
      </c>
      <c r="DJ296" s="7" t="s">
        <v>588</v>
      </c>
      <c r="DK296" s="7" t="s">
        <v>589</v>
      </c>
      <c r="DL296" s="7" t="s">
        <v>596</v>
      </c>
      <c r="DQ296" s="7" t="s">
        <v>1624</v>
      </c>
      <c r="DR296" s="7" t="s">
        <v>1622</v>
      </c>
      <c r="EL296" s="828" t="s">
        <v>1628</v>
      </c>
      <c r="EM296" s="312" t="s">
        <v>1626</v>
      </c>
      <c r="EN296" s="268" t="s">
        <v>1627</v>
      </c>
      <c r="EO296" s="380">
        <v>0</v>
      </c>
      <c r="EP296" s="380">
        <v>1</v>
      </c>
      <c r="EQ296" s="323">
        <v>0.25</v>
      </c>
      <c r="ER296" s="323">
        <v>0.25</v>
      </c>
      <c r="ES296" s="323">
        <v>0.25</v>
      </c>
      <c r="ET296" s="819">
        <v>0.25</v>
      </c>
    </row>
    <row r="297" spans="1:150" ht="99" customHeight="1" x14ac:dyDescent="0.2">
      <c r="A297" s="763" t="s">
        <v>103</v>
      </c>
      <c r="B297" s="424" t="s">
        <v>104</v>
      </c>
      <c r="C297" s="425" t="s">
        <v>1452</v>
      </c>
      <c r="D297" s="425"/>
      <c r="E297" s="8" t="s">
        <v>641</v>
      </c>
      <c r="F297" s="275" t="str">
        <f t="shared" si="202"/>
        <v>E4.P_D</v>
      </c>
      <c r="G297" s="276" t="s">
        <v>424</v>
      </c>
      <c r="H297" s="276" t="s">
        <v>589</v>
      </c>
      <c r="I297" s="399" t="s">
        <v>1630</v>
      </c>
      <c r="J297" s="430" t="s">
        <v>212</v>
      </c>
      <c r="K297" s="393" t="str">
        <f t="shared" si="203"/>
        <v>E4.P_D.MR3</v>
      </c>
      <c r="L297" s="355" t="s">
        <v>585</v>
      </c>
      <c r="M297" s="356" t="s">
        <v>1631</v>
      </c>
      <c r="N297" s="357">
        <v>1</v>
      </c>
      <c r="O297" s="241">
        <v>1</v>
      </c>
      <c r="P297" s="575" t="s">
        <v>64</v>
      </c>
      <c r="Q297" s="781" t="str">
        <f t="shared" si="204"/>
        <v>E4.P_D.MR3-MP01-1</v>
      </c>
      <c r="R297" s="412" t="s">
        <v>1632</v>
      </c>
      <c r="S297" s="362" t="s">
        <v>1633</v>
      </c>
      <c r="T297" s="363">
        <v>1</v>
      </c>
      <c r="U297" s="364">
        <v>1</v>
      </c>
      <c r="V297" s="363" t="s">
        <v>102</v>
      </c>
      <c r="W297" s="557">
        <v>0.25</v>
      </c>
      <c r="X297" s="558">
        <v>0.25</v>
      </c>
      <c r="Y297" s="557">
        <v>0.25</v>
      </c>
      <c r="Z297" s="559">
        <v>0.25</v>
      </c>
      <c r="AA297" s="292"/>
      <c r="AB297" s="293"/>
      <c r="AC297" s="293"/>
      <c r="AD297" s="293"/>
      <c r="AE297" s="293"/>
      <c r="AF297" s="293"/>
      <c r="AG297" s="293"/>
      <c r="AH297" s="293"/>
      <c r="AI297" s="293"/>
      <c r="AJ297" s="293"/>
      <c r="AK297" s="293"/>
      <c r="AL297" s="293"/>
      <c r="AM297" s="293"/>
      <c r="AN297" s="293"/>
      <c r="AO297" s="293"/>
      <c r="AP297" s="293"/>
      <c r="AQ297" s="293"/>
      <c r="AR297" s="293"/>
      <c r="AS297" s="293"/>
      <c r="AT297" s="293"/>
      <c r="AU297" s="293"/>
      <c r="AV297" s="293"/>
      <c r="AW297" s="293"/>
      <c r="AX297" s="293"/>
      <c r="AY297" s="293"/>
      <c r="AZ297" s="293"/>
      <c r="BA297" s="293"/>
      <c r="BB297" s="293"/>
      <c r="BC297" s="294"/>
      <c r="BD297" s="295" t="s">
        <v>1151</v>
      </c>
      <c r="BS297" s="86" t="s">
        <v>576</v>
      </c>
      <c r="BT297" s="86" t="s">
        <v>577</v>
      </c>
      <c r="BU297" s="87" t="s">
        <v>1628</v>
      </c>
      <c r="BV297" s="84" t="s">
        <v>1626</v>
      </c>
      <c r="DH297" s="7" t="s">
        <v>1635</v>
      </c>
      <c r="DI297" s="7" t="s">
        <v>540</v>
      </c>
      <c r="DJ297" s="7" t="s">
        <v>588</v>
      </c>
      <c r="DK297" s="7" t="s">
        <v>589</v>
      </c>
      <c r="DL297" s="7" t="s">
        <v>596</v>
      </c>
      <c r="DQ297" s="7" t="s">
        <v>1628</v>
      </c>
      <c r="DR297" s="7" t="s">
        <v>1626</v>
      </c>
      <c r="EL297" s="822" t="s">
        <v>1634</v>
      </c>
      <c r="EM297" s="312" t="s">
        <v>1632</v>
      </c>
      <c r="EN297" s="268" t="s">
        <v>1633</v>
      </c>
      <c r="EO297" s="268">
        <v>1</v>
      </c>
      <c r="EP297" s="268">
        <v>1</v>
      </c>
      <c r="EQ297" s="323">
        <v>1</v>
      </c>
      <c r="ER297" s="323">
        <v>1</v>
      </c>
      <c r="ES297" s="323">
        <v>1</v>
      </c>
      <c r="ET297" s="819">
        <v>1</v>
      </c>
    </row>
    <row r="298" spans="1:150" ht="60.75" customHeight="1" thickBot="1" x14ac:dyDescent="0.25">
      <c r="A298" s="763" t="s">
        <v>103</v>
      </c>
      <c r="B298" s="424" t="s">
        <v>104</v>
      </c>
      <c r="C298" s="425" t="s">
        <v>1452</v>
      </c>
      <c r="D298" s="425"/>
      <c r="E298" s="8" t="s">
        <v>641</v>
      </c>
      <c r="F298" s="275" t="str">
        <f t="shared" si="202"/>
        <v>E4.P_D</v>
      </c>
      <c r="G298" s="418" t="s">
        <v>424</v>
      </c>
      <c r="H298" s="418" t="s">
        <v>589</v>
      </c>
      <c r="I298" s="442"/>
      <c r="J298" s="335" t="s">
        <v>212</v>
      </c>
      <c r="K298" s="395" t="str">
        <f t="shared" si="203"/>
        <v>E4.P_D.MR3</v>
      </c>
      <c r="L298" s="420" t="s">
        <v>585</v>
      </c>
      <c r="M298" s="421" t="s">
        <v>1631</v>
      </c>
      <c r="N298" s="369">
        <v>1</v>
      </c>
      <c r="O298" s="282">
        <v>1</v>
      </c>
      <c r="P298" s="561" t="s">
        <v>87</v>
      </c>
      <c r="Q298" s="396" t="str">
        <f t="shared" si="204"/>
        <v>E4.P_D.MR3-MP02-1</v>
      </c>
      <c r="R298" s="471" t="s">
        <v>1636</v>
      </c>
      <c r="S298" s="331" t="s">
        <v>1637</v>
      </c>
      <c r="T298" s="345">
        <v>198</v>
      </c>
      <c r="U298" s="346">
        <v>230</v>
      </c>
      <c r="V298" s="345" t="s">
        <v>67</v>
      </c>
      <c r="W298" s="347">
        <v>50</v>
      </c>
      <c r="X298" s="348">
        <v>60</v>
      </c>
      <c r="Y298" s="347">
        <v>60</v>
      </c>
      <c r="Z298" s="349">
        <v>60</v>
      </c>
      <c r="AA298" s="292"/>
      <c r="AB298" s="293"/>
      <c r="AC298" s="293"/>
      <c r="AD298" s="293"/>
      <c r="AE298" s="293"/>
      <c r="AF298" s="293"/>
      <c r="AG298" s="293"/>
      <c r="AH298" s="293"/>
      <c r="AI298" s="293"/>
      <c r="AJ298" s="293"/>
      <c r="AK298" s="293"/>
      <c r="AL298" s="293"/>
      <c r="AM298" s="293"/>
      <c r="AN298" s="293"/>
      <c r="AO298" s="293"/>
      <c r="AP298" s="293"/>
      <c r="AQ298" s="293"/>
      <c r="AR298" s="293"/>
      <c r="AS298" s="293"/>
      <c r="AT298" s="293"/>
      <c r="AU298" s="293"/>
      <c r="AV298" s="293"/>
      <c r="AW298" s="293"/>
      <c r="AX298" s="293"/>
      <c r="AY298" s="293"/>
      <c r="AZ298" s="293"/>
      <c r="BA298" s="293"/>
      <c r="BB298" s="293"/>
      <c r="BC298" s="294"/>
      <c r="BD298" s="295" t="s">
        <v>1151</v>
      </c>
      <c r="BS298" s="84" t="s">
        <v>584</v>
      </c>
      <c r="BT298" s="84" t="s">
        <v>585</v>
      </c>
      <c r="BU298" s="87" t="s">
        <v>1634</v>
      </c>
      <c r="BV298" s="84" t="s">
        <v>1632</v>
      </c>
      <c r="DH298" s="7" t="s">
        <v>1639</v>
      </c>
      <c r="DI298" s="7" t="s">
        <v>540</v>
      </c>
      <c r="DJ298" s="7" t="s">
        <v>588</v>
      </c>
      <c r="DK298" s="7" t="s">
        <v>589</v>
      </c>
      <c r="DL298" s="7" t="s">
        <v>601</v>
      </c>
      <c r="DQ298" s="7" t="s">
        <v>1634</v>
      </c>
      <c r="DR298" s="7" t="s">
        <v>1632</v>
      </c>
      <c r="EL298" s="822" t="s">
        <v>1638</v>
      </c>
      <c r="EM298" s="312" t="s">
        <v>1636</v>
      </c>
      <c r="EN298" s="268" t="s">
        <v>1637</v>
      </c>
      <c r="EO298" s="268">
        <v>198</v>
      </c>
      <c r="EP298" s="268">
        <v>230</v>
      </c>
      <c r="EQ298" s="269">
        <v>50</v>
      </c>
      <c r="ER298" s="269">
        <v>60</v>
      </c>
      <c r="ES298" s="269">
        <v>60</v>
      </c>
      <c r="ET298" s="820">
        <v>60</v>
      </c>
    </row>
    <row r="299" spans="1:150" ht="106.5" customHeight="1" x14ac:dyDescent="0.2">
      <c r="A299" s="763" t="s">
        <v>103</v>
      </c>
      <c r="B299" s="424" t="s">
        <v>104</v>
      </c>
      <c r="C299" s="425" t="s">
        <v>1452</v>
      </c>
      <c r="D299" s="426" t="s">
        <v>1174</v>
      </c>
      <c r="E299" s="3" t="s">
        <v>695</v>
      </c>
      <c r="F299" s="427" t="str">
        <f t="shared" si="202"/>
        <v>E4.P_E</v>
      </c>
      <c r="G299" s="428" t="s">
        <v>1640</v>
      </c>
      <c r="H299" s="473" t="s">
        <v>608</v>
      </c>
      <c r="I299" s="399" t="s">
        <v>1641</v>
      </c>
      <c r="J299" s="430" t="s">
        <v>61</v>
      </c>
      <c r="K299" s="393" t="str">
        <f t="shared" si="203"/>
        <v>E4.P_E.MR1</v>
      </c>
      <c r="L299" s="355" t="s">
        <v>594</v>
      </c>
      <c r="M299" s="356" t="s">
        <v>1642</v>
      </c>
      <c r="N299" s="475">
        <v>85957</v>
      </c>
      <c r="O299" s="475">
        <v>97991</v>
      </c>
      <c r="P299" s="638" t="s">
        <v>64</v>
      </c>
      <c r="Q299" s="477" t="str">
        <f t="shared" si="204"/>
        <v>E4.P_E.MR1-MP01-1</v>
      </c>
      <c r="R299" s="412" t="s">
        <v>1643</v>
      </c>
      <c r="S299" s="362" t="s">
        <v>1644</v>
      </c>
      <c r="T299" s="363">
        <v>1</v>
      </c>
      <c r="U299" s="613">
        <v>1</v>
      </c>
      <c r="V299" s="612" t="s">
        <v>102</v>
      </c>
      <c r="W299" s="480">
        <v>1</v>
      </c>
      <c r="X299" s="481">
        <v>0</v>
      </c>
      <c r="Y299" s="480">
        <v>0</v>
      </c>
      <c r="Z299" s="482">
        <v>0</v>
      </c>
      <c r="AA299" s="292"/>
      <c r="AB299" s="293"/>
      <c r="AC299" s="293"/>
      <c r="AD299" s="293"/>
      <c r="AE299" s="293"/>
      <c r="AF299" s="293"/>
      <c r="AG299" s="293"/>
      <c r="AH299" s="293"/>
      <c r="AI299" s="293"/>
      <c r="AJ299" s="293"/>
      <c r="AK299" s="293"/>
      <c r="AL299" s="293"/>
      <c r="AM299" s="293"/>
      <c r="AN299" s="293"/>
      <c r="AO299" s="293"/>
      <c r="AP299" s="293"/>
      <c r="AQ299" s="293"/>
      <c r="AR299" s="293"/>
      <c r="AS299" s="293"/>
      <c r="AT299" s="293"/>
      <c r="AU299" s="293"/>
      <c r="AV299" s="293"/>
      <c r="AW299" s="293"/>
      <c r="AX299" s="293"/>
      <c r="AY299" s="293"/>
      <c r="AZ299" s="293"/>
      <c r="BA299" s="293"/>
      <c r="BB299" s="293"/>
      <c r="BC299" s="294"/>
      <c r="BD299" s="295" t="s">
        <v>1645</v>
      </c>
      <c r="BS299" s="86" t="s">
        <v>584</v>
      </c>
      <c r="BT299" s="86" t="s">
        <v>585</v>
      </c>
      <c r="BU299" s="87" t="s">
        <v>1638</v>
      </c>
      <c r="BV299" s="84" t="s">
        <v>1636</v>
      </c>
      <c r="DH299" s="7" t="s">
        <v>1647</v>
      </c>
      <c r="DI299" s="7" t="s">
        <v>540</v>
      </c>
      <c r="DJ299" s="7" t="s">
        <v>588</v>
      </c>
      <c r="DK299" s="7" t="s">
        <v>589</v>
      </c>
      <c r="DL299" s="7" t="s">
        <v>601</v>
      </c>
      <c r="DQ299" s="7" t="s">
        <v>1638</v>
      </c>
      <c r="DR299" s="7" t="s">
        <v>1636</v>
      </c>
      <c r="EL299" s="828" t="s">
        <v>1646</v>
      </c>
      <c r="EM299" s="312" t="s">
        <v>1643</v>
      </c>
      <c r="EN299" s="268" t="s">
        <v>1644</v>
      </c>
      <c r="EO299" s="268">
        <v>1</v>
      </c>
      <c r="EP299" s="268">
        <v>1</v>
      </c>
      <c r="EQ299" s="269">
        <v>1</v>
      </c>
      <c r="ER299" s="269">
        <v>0</v>
      </c>
      <c r="ES299" s="269">
        <v>0</v>
      </c>
      <c r="ET299" s="820">
        <v>0</v>
      </c>
    </row>
    <row r="300" spans="1:150" ht="41.25" customHeight="1" x14ac:dyDescent="0.2">
      <c r="A300" s="763" t="s">
        <v>103</v>
      </c>
      <c r="B300" s="424" t="s">
        <v>104</v>
      </c>
      <c r="C300" s="425" t="s">
        <v>1452</v>
      </c>
      <c r="D300" s="425"/>
      <c r="E300" s="8" t="s">
        <v>695</v>
      </c>
      <c r="F300" s="275" t="str">
        <f t="shared" si="202"/>
        <v>E4.P_E</v>
      </c>
      <c r="G300" s="448" t="s">
        <v>435</v>
      </c>
      <c r="H300" s="448" t="s">
        <v>608</v>
      </c>
      <c r="I300" s="277"/>
      <c r="J300" s="278" t="s">
        <v>61</v>
      </c>
      <c r="K300" s="279" t="str">
        <f t="shared" si="203"/>
        <v>E4.P_E.MR1</v>
      </c>
      <c r="L300" s="404" t="s">
        <v>594</v>
      </c>
      <c r="M300" s="405" t="s">
        <v>1642</v>
      </c>
      <c r="N300" s="487">
        <v>85957</v>
      </c>
      <c r="O300" s="487">
        <v>97991</v>
      </c>
      <c r="P300" s="476" t="s">
        <v>87</v>
      </c>
      <c r="Q300" s="488" t="str">
        <f t="shared" si="204"/>
        <v>E4.P_E.MR1-MP02-1</v>
      </c>
      <c r="R300" s="416" t="s">
        <v>1648</v>
      </c>
      <c r="S300" s="308" t="s">
        <v>1649</v>
      </c>
      <c r="T300" s="287">
        <v>0</v>
      </c>
      <c r="U300" s="288">
        <v>1</v>
      </c>
      <c r="V300" s="287" t="s">
        <v>67</v>
      </c>
      <c r="W300" s="315">
        <v>0.25</v>
      </c>
      <c r="X300" s="316">
        <v>0.25</v>
      </c>
      <c r="Y300" s="315">
        <v>0.25</v>
      </c>
      <c r="Z300" s="317">
        <v>0.25</v>
      </c>
      <c r="AA300" s="292"/>
      <c r="AB300" s="293"/>
      <c r="AC300" s="293"/>
      <c r="AD300" s="293"/>
      <c r="AE300" s="293"/>
      <c r="AF300" s="293"/>
      <c r="AG300" s="293"/>
      <c r="AH300" s="293"/>
      <c r="AI300" s="293"/>
      <c r="AJ300" s="293"/>
      <c r="AK300" s="293"/>
      <c r="AL300" s="293"/>
      <c r="AM300" s="293"/>
      <c r="AN300" s="293"/>
      <c r="AO300" s="293"/>
      <c r="AP300" s="293"/>
      <c r="AQ300" s="293"/>
      <c r="AR300" s="293"/>
      <c r="AS300" s="293"/>
      <c r="AT300" s="293"/>
      <c r="AU300" s="293"/>
      <c r="AV300" s="293"/>
      <c r="AW300" s="293"/>
      <c r="AX300" s="293"/>
      <c r="AY300" s="293"/>
      <c r="AZ300" s="293"/>
      <c r="BA300" s="293"/>
      <c r="BB300" s="293"/>
      <c r="BC300" s="294"/>
      <c r="BD300" s="295" t="s">
        <v>1645</v>
      </c>
      <c r="BS300" s="84" t="s">
        <v>593</v>
      </c>
      <c r="BT300" s="84" t="s">
        <v>594</v>
      </c>
      <c r="BU300" s="87" t="s">
        <v>1646</v>
      </c>
      <c r="BV300" s="84" t="s">
        <v>1643</v>
      </c>
      <c r="DH300" s="7" t="s">
        <v>1651</v>
      </c>
      <c r="DI300" s="7" t="s">
        <v>540</v>
      </c>
      <c r="DJ300" s="7" t="s">
        <v>607</v>
      </c>
      <c r="DK300" s="7" t="s">
        <v>608</v>
      </c>
      <c r="DL300" s="7" t="s">
        <v>606</v>
      </c>
      <c r="DQ300" s="7" t="s">
        <v>1646</v>
      </c>
      <c r="DR300" s="7" t="s">
        <v>1643</v>
      </c>
      <c r="EL300" s="828" t="s">
        <v>1650</v>
      </c>
      <c r="EM300" s="312" t="s">
        <v>1648</v>
      </c>
      <c r="EN300" s="268" t="s">
        <v>1649</v>
      </c>
      <c r="EO300" s="268">
        <v>0</v>
      </c>
      <c r="EP300" s="268">
        <v>1</v>
      </c>
      <c r="EQ300" s="323">
        <v>0.25</v>
      </c>
      <c r="ER300" s="323">
        <v>0.25</v>
      </c>
      <c r="ES300" s="323">
        <v>0.25</v>
      </c>
      <c r="ET300" s="819">
        <v>0.25</v>
      </c>
    </row>
    <row r="301" spans="1:150" ht="53.25" customHeight="1" x14ac:dyDescent="0.2">
      <c r="A301" s="763" t="s">
        <v>103</v>
      </c>
      <c r="B301" s="424" t="s">
        <v>104</v>
      </c>
      <c r="C301" s="425" t="s">
        <v>1452</v>
      </c>
      <c r="D301" s="425"/>
      <c r="E301" s="8" t="s">
        <v>695</v>
      </c>
      <c r="F301" s="275" t="str">
        <f t="shared" si="202"/>
        <v>E4.P_E</v>
      </c>
      <c r="G301" s="448" t="s">
        <v>435</v>
      </c>
      <c r="H301" s="448" t="s">
        <v>608</v>
      </c>
      <c r="I301" s="277"/>
      <c r="J301" s="278" t="s">
        <v>61</v>
      </c>
      <c r="K301" s="279" t="str">
        <f t="shared" si="203"/>
        <v>E4.P_E.MR1</v>
      </c>
      <c r="L301" s="404" t="s">
        <v>594</v>
      </c>
      <c r="M301" s="405" t="s">
        <v>1642</v>
      </c>
      <c r="N301" s="487">
        <v>85957</v>
      </c>
      <c r="O301" s="487">
        <v>97991</v>
      </c>
      <c r="P301" s="476" t="s">
        <v>99</v>
      </c>
      <c r="Q301" s="488" t="str">
        <f t="shared" si="204"/>
        <v>E4.P_E.MR1-MP03-1</v>
      </c>
      <c r="R301" s="416" t="s">
        <v>1652</v>
      </c>
      <c r="S301" s="308" t="s">
        <v>1653</v>
      </c>
      <c r="T301" s="287">
        <v>3500</v>
      </c>
      <c r="U301" s="288">
        <v>1500</v>
      </c>
      <c r="V301" s="287" t="s">
        <v>807</v>
      </c>
      <c r="W301" s="289">
        <v>9900</v>
      </c>
      <c r="X301" s="290">
        <v>8500</v>
      </c>
      <c r="Y301" s="289">
        <v>7500</v>
      </c>
      <c r="Z301" s="291">
        <v>5000</v>
      </c>
      <c r="AA301" s="292"/>
      <c r="AB301" s="293"/>
      <c r="AC301" s="293"/>
      <c r="AD301" s="293"/>
      <c r="AE301" s="293"/>
      <c r="AF301" s="293"/>
      <c r="AG301" s="293"/>
      <c r="AH301" s="293"/>
      <c r="AI301" s="293"/>
      <c r="AJ301" s="293"/>
      <c r="AK301" s="293"/>
      <c r="AL301" s="293"/>
      <c r="AM301" s="293"/>
      <c r="AN301" s="293"/>
      <c r="AO301" s="293"/>
      <c r="AP301" s="293"/>
      <c r="AQ301" s="293"/>
      <c r="AR301" s="293"/>
      <c r="AS301" s="293"/>
      <c r="AT301" s="293"/>
      <c r="AU301" s="293"/>
      <c r="AV301" s="293"/>
      <c r="AW301" s="293"/>
      <c r="AX301" s="293"/>
      <c r="AY301" s="293"/>
      <c r="AZ301" s="293"/>
      <c r="BA301" s="293"/>
      <c r="BB301" s="293"/>
      <c r="BC301" s="294"/>
      <c r="BD301" s="295" t="s">
        <v>1645</v>
      </c>
      <c r="BS301" s="86" t="s">
        <v>593</v>
      </c>
      <c r="BT301" s="86" t="s">
        <v>594</v>
      </c>
      <c r="BU301" s="87" t="s">
        <v>1650</v>
      </c>
      <c r="BV301" s="84" t="s">
        <v>1648</v>
      </c>
      <c r="DH301" s="7" t="s">
        <v>1655</v>
      </c>
      <c r="DI301" s="7" t="s">
        <v>540</v>
      </c>
      <c r="DJ301" s="7" t="s">
        <v>607</v>
      </c>
      <c r="DK301" s="7" t="s">
        <v>608</v>
      </c>
      <c r="DL301" s="7" t="s">
        <v>606</v>
      </c>
      <c r="DQ301" s="7" t="s">
        <v>1650</v>
      </c>
      <c r="DR301" s="7" t="s">
        <v>1648</v>
      </c>
      <c r="EL301" s="828" t="s">
        <v>1654</v>
      </c>
      <c r="EM301" s="312" t="s">
        <v>1652</v>
      </c>
      <c r="EN301" s="268" t="s">
        <v>1653</v>
      </c>
      <c r="EO301" s="268">
        <v>3500</v>
      </c>
      <c r="EP301" s="268">
        <v>1500</v>
      </c>
      <c r="EQ301" s="803">
        <v>3000</v>
      </c>
      <c r="ER301" s="803">
        <v>2500</v>
      </c>
      <c r="ES301" s="803">
        <v>2000</v>
      </c>
      <c r="ET301" s="830">
        <v>1500</v>
      </c>
    </row>
    <row r="302" spans="1:150" ht="54" customHeight="1" x14ac:dyDescent="0.2">
      <c r="A302" s="763" t="s">
        <v>103</v>
      </c>
      <c r="B302" s="424" t="s">
        <v>104</v>
      </c>
      <c r="C302" s="425" t="s">
        <v>1452</v>
      </c>
      <c r="D302" s="425"/>
      <c r="E302" s="8" t="s">
        <v>695</v>
      </c>
      <c r="F302" s="275" t="str">
        <f t="shared" si="202"/>
        <v>E4.P_E</v>
      </c>
      <c r="G302" s="448" t="s">
        <v>435</v>
      </c>
      <c r="H302" s="448" t="s">
        <v>608</v>
      </c>
      <c r="I302" s="277"/>
      <c r="J302" s="278" t="s">
        <v>61</v>
      </c>
      <c r="K302" s="279" t="str">
        <f t="shared" si="203"/>
        <v>E4.P_E.MR1</v>
      </c>
      <c r="L302" s="404" t="s">
        <v>594</v>
      </c>
      <c r="M302" s="405" t="s">
        <v>1642</v>
      </c>
      <c r="N302" s="487">
        <v>85957</v>
      </c>
      <c r="O302" s="487">
        <v>97991</v>
      </c>
      <c r="P302" s="476" t="s">
        <v>112</v>
      </c>
      <c r="Q302" s="488" t="str">
        <f t="shared" si="204"/>
        <v>E4.P_E.MR1-MP04-1</v>
      </c>
      <c r="R302" s="416" t="s">
        <v>1656</v>
      </c>
      <c r="S302" s="308" t="s">
        <v>1657</v>
      </c>
      <c r="T302" s="287">
        <v>1</v>
      </c>
      <c r="U302" s="288">
        <v>1</v>
      </c>
      <c r="V302" s="287" t="s">
        <v>102</v>
      </c>
      <c r="W302" s="315">
        <v>0.25</v>
      </c>
      <c r="X302" s="316">
        <v>0.25</v>
      </c>
      <c r="Y302" s="315">
        <v>0.25</v>
      </c>
      <c r="Z302" s="317">
        <v>0.25</v>
      </c>
      <c r="AA302" s="292"/>
      <c r="AB302" s="293"/>
      <c r="AC302" s="293"/>
      <c r="AD302" s="293"/>
      <c r="AE302" s="293"/>
      <c r="AF302" s="293"/>
      <c r="AG302" s="293"/>
      <c r="AH302" s="293"/>
      <c r="AI302" s="293"/>
      <c r="AJ302" s="293"/>
      <c r="AK302" s="293"/>
      <c r="AL302" s="293"/>
      <c r="AM302" s="293"/>
      <c r="AN302" s="293"/>
      <c r="AO302" s="293"/>
      <c r="AP302" s="293"/>
      <c r="AQ302" s="293"/>
      <c r="AR302" s="293"/>
      <c r="AS302" s="293"/>
      <c r="AT302" s="293"/>
      <c r="AU302" s="293"/>
      <c r="AV302" s="293"/>
      <c r="AW302" s="293"/>
      <c r="AX302" s="293"/>
      <c r="AY302" s="293"/>
      <c r="AZ302" s="293"/>
      <c r="BA302" s="293"/>
      <c r="BB302" s="293"/>
      <c r="BC302" s="294"/>
      <c r="BD302" s="295" t="s">
        <v>1645</v>
      </c>
      <c r="BS302" s="86" t="s">
        <v>593</v>
      </c>
      <c r="BT302" s="86" t="s">
        <v>594</v>
      </c>
      <c r="BU302" s="87" t="s">
        <v>1654</v>
      </c>
      <c r="BV302" s="84" t="s">
        <v>1652</v>
      </c>
      <c r="DH302" s="7" t="s">
        <v>1659</v>
      </c>
      <c r="DI302" s="7" t="s">
        <v>540</v>
      </c>
      <c r="DJ302" s="7" t="s">
        <v>607</v>
      </c>
      <c r="DK302" s="7" t="s">
        <v>608</v>
      </c>
      <c r="DL302" s="7" t="s">
        <v>606</v>
      </c>
      <c r="DQ302" s="7" t="s">
        <v>1654</v>
      </c>
      <c r="DR302" s="7" t="s">
        <v>1652</v>
      </c>
      <c r="EL302" s="828" t="s">
        <v>1658</v>
      </c>
      <c r="EM302" s="312" t="s">
        <v>1656</v>
      </c>
      <c r="EN302" s="268" t="s">
        <v>1657</v>
      </c>
      <c r="EO302" s="268">
        <v>1</v>
      </c>
      <c r="EP302" s="268">
        <v>1</v>
      </c>
      <c r="EQ302" s="323">
        <v>0.25</v>
      </c>
      <c r="ER302" s="323">
        <v>0.25</v>
      </c>
      <c r="ES302" s="323">
        <v>0.25</v>
      </c>
      <c r="ET302" s="819">
        <v>0.25</v>
      </c>
    </row>
    <row r="303" spans="1:150" ht="37.5" customHeight="1" x14ac:dyDescent="0.2">
      <c r="A303" s="763" t="s">
        <v>103</v>
      </c>
      <c r="B303" s="424" t="s">
        <v>104</v>
      </c>
      <c r="C303" s="425" t="s">
        <v>1452</v>
      </c>
      <c r="D303" s="425"/>
      <c r="E303" s="8" t="s">
        <v>695</v>
      </c>
      <c r="F303" s="275" t="str">
        <f t="shared" si="202"/>
        <v>E4.P_E</v>
      </c>
      <c r="G303" s="448" t="s">
        <v>435</v>
      </c>
      <c r="H303" s="448" t="s">
        <v>608</v>
      </c>
      <c r="I303" s="277"/>
      <c r="J303" s="278" t="s">
        <v>61</v>
      </c>
      <c r="K303" s="279" t="str">
        <f t="shared" si="203"/>
        <v>E4.P_E.MR1</v>
      </c>
      <c r="L303" s="404" t="s">
        <v>594</v>
      </c>
      <c r="M303" s="405" t="s">
        <v>1642</v>
      </c>
      <c r="N303" s="487">
        <v>85957</v>
      </c>
      <c r="O303" s="487">
        <v>97991</v>
      </c>
      <c r="P303" s="476" t="s">
        <v>122</v>
      </c>
      <c r="Q303" s="488" t="str">
        <f t="shared" si="204"/>
        <v>E4.P_E.MR1-MP05-1</v>
      </c>
      <c r="R303" s="416" t="s">
        <v>1660</v>
      </c>
      <c r="S303" s="308" t="s">
        <v>1661</v>
      </c>
      <c r="T303" s="287">
        <v>0</v>
      </c>
      <c r="U303" s="288">
        <v>1</v>
      </c>
      <c r="V303" s="287" t="s">
        <v>67</v>
      </c>
      <c r="W303" s="315">
        <v>0.25</v>
      </c>
      <c r="X303" s="316">
        <v>0.25</v>
      </c>
      <c r="Y303" s="315">
        <v>0.25</v>
      </c>
      <c r="Z303" s="317">
        <v>0.25</v>
      </c>
      <c r="AA303" s="292"/>
      <c r="AB303" s="293"/>
      <c r="AC303" s="293"/>
      <c r="AD303" s="293"/>
      <c r="AE303" s="293"/>
      <c r="AF303" s="293"/>
      <c r="AG303" s="293"/>
      <c r="AH303" s="293"/>
      <c r="AI303" s="293"/>
      <c r="AJ303" s="293"/>
      <c r="AK303" s="293"/>
      <c r="AL303" s="293"/>
      <c r="AM303" s="293"/>
      <c r="AN303" s="293"/>
      <c r="AO303" s="293"/>
      <c r="AP303" s="293"/>
      <c r="AQ303" s="293"/>
      <c r="AR303" s="293"/>
      <c r="AS303" s="293"/>
      <c r="AT303" s="293"/>
      <c r="AU303" s="293"/>
      <c r="AV303" s="293"/>
      <c r="AW303" s="293"/>
      <c r="AX303" s="293"/>
      <c r="AY303" s="293"/>
      <c r="AZ303" s="293"/>
      <c r="BA303" s="293"/>
      <c r="BB303" s="293"/>
      <c r="BC303" s="294"/>
      <c r="BD303" s="295" t="s">
        <v>1645</v>
      </c>
      <c r="BS303" s="86" t="s">
        <v>593</v>
      </c>
      <c r="BT303" s="86" t="s">
        <v>594</v>
      </c>
      <c r="BU303" s="87" t="s">
        <v>1658</v>
      </c>
      <c r="BV303" s="84" t="s">
        <v>1656</v>
      </c>
      <c r="DH303" s="7" t="s">
        <v>1663</v>
      </c>
      <c r="DI303" s="7" t="s">
        <v>540</v>
      </c>
      <c r="DJ303" s="7" t="s">
        <v>607</v>
      </c>
      <c r="DK303" s="7" t="s">
        <v>608</v>
      </c>
      <c r="DL303" s="7" t="s">
        <v>606</v>
      </c>
      <c r="DQ303" s="7" t="s">
        <v>1658</v>
      </c>
      <c r="DR303" s="7" t="s">
        <v>1656</v>
      </c>
      <c r="EL303" s="828" t="s">
        <v>1662</v>
      </c>
      <c r="EM303" s="312" t="s">
        <v>1660</v>
      </c>
      <c r="EN303" s="268" t="s">
        <v>1661</v>
      </c>
      <c r="EO303" s="268">
        <v>0</v>
      </c>
      <c r="EP303" s="268">
        <v>1</v>
      </c>
      <c r="EQ303" s="323">
        <v>0.25</v>
      </c>
      <c r="ER303" s="323">
        <v>0.25</v>
      </c>
      <c r="ES303" s="323">
        <v>0.25</v>
      </c>
      <c r="ET303" s="819">
        <v>0.25</v>
      </c>
    </row>
    <row r="304" spans="1:150" ht="44.25" customHeight="1" thickBot="1" x14ac:dyDescent="0.25">
      <c r="A304" s="783" t="s">
        <v>103</v>
      </c>
      <c r="B304" s="592" t="s">
        <v>104</v>
      </c>
      <c r="C304" s="593" t="s">
        <v>1452</v>
      </c>
      <c r="D304" s="593"/>
      <c r="E304" s="21" t="s">
        <v>695</v>
      </c>
      <c r="F304" s="594" t="str">
        <f t="shared" si="202"/>
        <v>E4.P_E</v>
      </c>
      <c r="G304" s="560" t="s">
        <v>435</v>
      </c>
      <c r="H304" s="560" t="s">
        <v>608</v>
      </c>
      <c r="I304" s="491"/>
      <c r="J304" s="335" t="s">
        <v>61</v>
      </c>
      <c r="K304" s="395" t="str">
        <f t="shared" si="203"/>
        <v>E4.P_E.MR1</v>
      </c>
      <c r="L304" s="420" t="s">
        <v>594</v>
      </c>
      <c r="M304" s="421" t="s">
        <v>1642</v>
      </c>
      <c r="N304" s="493">
        <v>85957</v>
      </c>
      <c r="O304" s="493">
        <v>97991</v>
      </c>
      <c r="P304" s="649" t="s">
        <v>132</v>
      </c>
      <c r="Q304" s="494" t="str">
        <f t="shared" si="204"/>
        <v>E4.P_E.MR1-MP06-1</v>
      </c>
      <c r="R304" s="423" t="s">
        <v>1664</v>
      </c>
      <c r="S304" s="344" t="s">
        <v>1665</v>
      </c>
      <c r="T304" s="387">
        <v>2</v>
      </c>
      <c r="U304" s="388">
        <v>3</v>
      </c>
      <c r="V304" s="387" t="s">
        <v>67</v>
      </c>
      <c r="W304" s="389">
        <v>0.75</v>
      </c>
      <c r="X304" s="390">
        <v>0.75</v>
      </c>
      <c r="Y304" s="389">
        <v>0.75</v>
      </c>
      <c r="Z304" s="391">
        <v>0.75</v>
      </c>
      <c r="AA304" s="634"/>
      <c r="AB304" s="635"/>
      <c r="AC304" s="635"/>
      <c r="AD304" s="635"/>
      <c r="AE304" s="635"/>
      <c r="AF304" s="635"/>
      <c r="AG304" s="635"/>
      <c r="AH304" s="635"/>
      <c r="AI304" s="635"/>
      <c r="AJ304" s="635"/>
      <c r="AK304" s="635"/>
      <c r="AL304" s="635"/>
      <c r="AM304" s="635"/>
      <c r="AN304" s="635"/>
      <c r="AO304" s="635"/>
      <c r="AP304" s="635"/>
      <c r="AQ304" s="635"/>
      <c r="AR304" s="635"/>
      <c r="AS304" s="635"/>
      <c r="AT304" s="635"/>
      <c r="AU304" s="635"/>
      <c r="AV304" s="635"/>
      <c r="AW304" s="635"/>
      <c r="AX304" s="635"/>
      <c r="AY304" s="635"/>
      <c r="AZ304" s="635"/>
      <c r="BA304" s="635"/>
      <c r="BB304" s="635"/>
      <c r="BC304" s="636"/>
      <c r="BD304" s="784" t="s">
        <v>1645</v>
      </c>
      <c r="BS304" s="86" t="s">
        <v>593</v>
      </c>
      <c r="BT304" s="86" t="s">
        <v>594</v>
      </c>
      <c r="BU304" s="87" t="s">
        <v>1662</v>
      </c>
      <c r="BV304" s="84" t="s">
        <v>1660</v>
      </c>
      <c r="DH304" s="7" t="s">
        <v>1667</v>
      </c>
      <c r="DI304" s="7" t="s">
        <v>540</v>
      </c>
      <c r="DJ304" s="7" t="s">
        <v>607</v>
      </c>
      <c r="DK304" s="7" t="s">
        <v>608</v>
      </c>
      <c r="DL304" s="7" t="s">
        <v>606</v>
      </c>
      <c r="DQ304" s="7" t="s">
        <v>1662</v>
      </c>
      <c r="DR304" s="7" t="s">
        <v>1660</v>
      </c>
      <c r="EL304" s="842" t="s">
        <v>1666</v>
      </c>
      <c r="EM304" s="843" t="s">
        <v>1664</v>
      </c>
      <c r="EN304" s="844" t="s">
        <v>1665</v>
      </c>
      <c r="EO304" s="845">
        <v>2</v>
      </c>
      <c r="EP304" s="845">
        <v>3</v>
      </c>
      <c r="EQ304" s="846">
        <v>0.75</v>
      </c>
      <c r="ER304" s="846">
        <v>0.75</v>
      </c>
      <c r="ES304" s="846">
        <v>0.75</v>
      </c>
      <c r="ET304" s="847">
        <v>0.75</v>
      </c>
    </row>
    <row r="305" spans="71:122" ht="150" x14ac:dyDescent="0.2">
      <c r="BS305" s="86" t="s">
        <v>593</v>
      </c>
      <c r="BT305" s="86" t="s">
        <v>594</v>
      </c>
      <c r="BU305" s="87" t="s">
        <v>1666</v>
      </c>
      <c r="BV305" s="84" t="s">
        <v>1664</v>
      </c>
      <c r="DH305" s="7" t="s">
        <v>1668</v>
      </c>
      <c r="DI305" s="7" t="s">
        <v>540</v>
      </c>
      <c r="DJ305" s="7" t="s">
        <v>607</v>
      </c>
      <c r="DK305" s="7" t="s">
        <v>608</v>
      </c>
      <c r="DL305" s="7" t="s">
        <v>606</v>
      </c>
      <c r="DQ305" s="7" t="s">
        <v>1666</v>
      </c>
      <c r="DR305" s="7" t="s">
        <v>1664</v>
      </c>
    </row>
  </sheetData>
  <sheetProtection algorithmName="SHA-512" hashValue="TakVICa64JbAW22xVRDfo4D5Xt7p73yzESUU5dR59CfRHGc7WMzxlCCuAAq0urvZF2hOflag3nSw6ezFYdjeng==" saltValue="Xrx1acWRI2wHHtTgFWG3j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04" bestFit="1" customWidth="1"/>
    <col min="2" max="2" width="26.140625" style="204" customWidth="1"/>
    <col min="3" max="3" width="33.28515625" style="204" customWidth="1"/>
    <col min="4" max="4" width="11.42578125" style="204"/>
    <col min="5" max="5" width="53.42578125" style="204" hidden="1" customWidth="1"/>
    <col min="6" max="256" width="11.42578125" style="204"/>
    <col min="257" max="257" width="34" style="204" bestFit="1" customWidth="1"/>
    <col min="258" max="258" width="26.140625" style="204" customWidth="1"/>
    <col min="259" max="259" width="33.28515625" style="204" customWidth="1"/>
    <col min="260" max="260" width="11.42578125" style="204"/>
    <col min="261" max="261" width="53.42578125" style="204" customWidth="1"/>
    <col min="262" max="512" width="11.42578125" style="204"/>
    <col min="513" max="513" width="34" style="204" bestFit="1" customWidth="1"/>
    <col min="514" max="514" width="26.140625" style="204" customWidth="1"/>
    <col min="515" max="515" width="33.28515625" style="204" customWidth="1"/>
    <col min="516" max="516" width="11.42578125" style="204"/>
    <col min="517" max="517" width="53.42578125" style="204" customWidth="1"/>
    <col min="518" max="768" width="11.42578125" style="204"/>
    <col min="769" max="769" width="34" style="204" bestFit="1" customWidth="1"/>
    <col min="770" max="770" width="26.140625" style="204" customWidth="1"/>
    <col min="771" max="771" width="33.28515625" style="204" customWidth="1"/>
    <col min="772" max="772" width="11.42578125" style="204"/>
    <col min="773" max="773" width="53.42578125" style="204" customWidth="1"/>
    <col min="774" max="1024" width="11.42578125" style="204"/>
    <col min="1025" max="1025" width="34" style="204" bestFit="1" customWidth="1"/>
    <col min="1026" max="1026" width="26.140625" style="204" customWidth="1"/>
    <col min="1027" max="1027" width="33.28515625" style="204" customWidth="1"/>
    <col min="1028" max="1028" width="11.42578125" style="204"/>
    <col min="1029" max="1029" width="53.42578125" style="204" customWidth="1"/>
    <col min="1030" max="1280" width="11.42578125" style="204"/>
    <col min="1281" max="1281" width="34" style="204" bestFit="1" customWidth="1"/>
    <col min="1282" max="1282" width="26.140625" style="204" customWidth="1"/>
    <col min="1283" max="1283" width="33.28515625" style="204" customWidth="1"/>
    <col min="1284" max="1284" width="11.42578125" style="204"/>
    <col min="1285" max="1285" width="53.42578125" style="204" customWidth="1"/>
    <col min="1286" max="1536" width="11.42578125" style="204"/>
    <col min="1537" max="1537" width="34" style="204" bestFit="1" customWidth="1"/>
    <col min="1538" max="1538" width="26.140625" style="204" customWidth="1"/>
    <col min="1539" max="1539" width="33.28515625" style="204" customWidth="1"/>
    <col min="1540" max="1540" width="11.42578125" style="204"/>
    <col min="1541" max="1541" width="53.42578125" style="204" customWidth="1"/>
    <col min="1542" max="1792" width="11.42578125" style="204"/>
    <col min="1793" max="1793" width="34" style="204" bestFit="1" customWidth="1"/>
    <col min="1794" max="1794" width="26.140625" style="204" customWidth="1"/>
    <col min="1795" max="1795" width="33.28515625" style="204" customWidth="1"/>
    <col min="1796" max="1796" width="11.42578125" style="204"/>
    <col min="1797" max="1797" width="53.42578125" style="204" customWidth="1"/>
    <col min="1798" max="2048" width="11.42578125" style="204"/>
    <col min="2049" max="2049" width="34" style="204" bestFit="1" customWidth="1"/>
    <col min="2050" max="2050" width="26.140625" style="204" customWidth="1"/>
    <col min="2051" max="2051" width="33.28515625" style="204" customWidth="1"/>
    <col min="2052" max="2052" width="11.42578125" style="204"/>
    <col min="2053" max="2053" width="53.42578125" style="204" customWidth="1"/>
    <col min="2054" max="2304" width="11.42578125" style="204"/>
    <col min="2305" max="2305" width="34" style="204" bestFit="1" customWidth="1"/>
    <col min="2306" max="2306" width="26.140625" style="204" customWidth="1"/>
    <col min="2307" max="2307" width="33.28515625" style="204" customWidth="1"/>
    <col min="2308" max="2308" width="11.42578125" style="204"/>
    <col min="2309" max="2309" width="53.42578125" style="204" customWidth="1"/>
    <col min="2310" max="2560" width="11.42578125" style="204"/>
    <col min="2561" max="2561" width="34" style="204" bestFit="1" customWidth="1"/>
    <col min="2562" max="2562" width="26.140625" style="204" customWidth="1"/>
    <col min="2563" max="2563" width="33.28515625" style="204" customWidth="1"/>
    <col min="2564" max="2564" width="11.42578125" style="204"/>
    <col min="2565" max="2565" width="53.42578125" style="204" customWidth="1"/>
    <col min="2566" max="2816" width="11.42578125" style="204"/>
    <col min="2817" max="2817" width="34" style="204" bestFit="1" customWidth="1"/>
    <col min="2818" max="2818" width="26.140625" style="204" customWidth="1"/>
    <col min="2819" max="2819" width="33.28515625" style="204" customWidth="1"/>
    <col min="2820" max="2820" width="11.42578125" style="204"/>
    <col min="2821" max="2821" width="53.42578125" style="204" customWidth="1"/>
    <col min="2822" max="3072" width="11.42578125" style="204"/>
    <col min="3073" max="3073" width="34" style="204" bestFit="1" customWidth="1"/>
    <col min="3074" max="3074" width="26.140625" style="204" customWidth="1"/>
    <col min="3075" max="3075" width="33.28515625" style="204" customWidth="1"/>
    <col min="3076" max="3076" width="11.42578125" style="204"/>
    <col min="3077" max="3077" width="53.42578125" style="204" customWidth="1"/>
    <col min="3078" max="3328" width="11.42578125" style="204"/>
    <col min="3329" max="3329" width="34" style="204" bestFit="1" customWidth="1"/>
    <col min="3330" max="3330" width="26.140625" style="204" customWidth="1"/>
    <col min="3331" max="3331" width="33.28515625" style="204" customWidth="1"/>
    <col min="3332" max="3332" width="11.42578125" style="204"/>
    <col min="3333" max="3333" width="53.42578125" style="204" customWidth="1"/>
    <col min="3334" max="3584" width="11.42578125" style="204"/>
    <col min="3585" max="3585" width="34" style="204" bestFit="1" customWidth="1"/>
    <col min="3586" max="3586" width="26.140625" style="204" customWidth="1"/>
    <col min="3587" max="3587" width="33.28515625" style="204" customWidth="1"/>
    <col min="3588" max="3588" width="11.42578125" style="204"/>
    <col min="3589" max="3589" width="53.42578125" style="204" customWidth="1"/>
    <col min="3590" max="3840" width="11.42578125" style="204"/>
    <col min="3841" max="3841" width="34" style="204" bestFit="1" customWidth="1"/>
    <col min="3842" max="3842" width="26.140625" style="204" customWidth="1"/>
    <col min="3843" max="3843" width="33.28515625" style="204" customWidth="1"/>
    <col min="3844" max="3844" width="11.42578125" style="204"/>
    <col min="3845" max="3845" width="53.42578125" style="204" customWidth="1"/>
    <col min="3846" max="4096" width="11.42578125" style="204"/>
    <col min="4097" max="4097" width="34" style="204" bestFit="1" customWidth="1"/>
    <col min="4098" max="4098" width="26.140625" style="204" customWidth="1"/>
    <col min="4099" max="4099" width="33.28515625" style="204" customWidth="1"/>
    <col min="4100" max="4100" width="11.42578125" style="204"/>
    <col min="4101" max="4101" width="53.42578125" style="204" customWidth="1"/>
    <col min="4102" max="4352" width="11.42578125" style="204"/>
    <col min="4353" max="4353" width="34" style="204" bestFit="1" customWidth="1"/>
    <col min="4354" max="4354" width="26.140625" style="204" customWidth="1"/>
    <col min="4355" max="4355" width="33.28515625" style="204" customWidth="1"/>
    <col min="4356" max="4356" width="11.42578125" style="204"/>
    <col min="4357" max="4357" width="53.42578125" style="204" customWidth="1"/>
    <col min="4358" max="4608" width="11.42578125" style="204"/>
    <col min="4609" max="4609" width="34" style="204" bestFit="1" customWidth="1"/>
    <col min="4610" max="4610" width="26.140625" style="204" customWidth="1"/>
    <col min="4611" max="4611" width="33.28515625" style="204" customWidth="1"/>
    <col min="4612" max="4612" width="11.42578125" style="204"/>
    <col min="4613" max="4613" width="53.42578125" style="204" customWidth="1"/>
    <col min="4614" max="4864" width="11.42578125" style="204"/>
    <col min="4865" max="4865" width="34" style="204" bestFit="1" customWidth="1"/>
    <col min="4866" max="4866" width="26.140625" style="204" customWidth="1"/>
    <col min="4867" max="4867" width="33.28515625" style="204" customWidth="1"/>
    <col min="4868" max="4868" width="11.42578125" style="204"/>
    <col min="4869" max="4869" width="53.42578125" style="204" customWidth="1"/>
    <col min="4870" max="5120" width="11.42578125" style="204"/>
    <col min="5121" max="5121" width="34" style="204" bestFit="1" customWidth="1"/>
    <col min="5122" max="5122" width="26.140625" style="204" customWidth="1"/>
    <col min="5123" max="5123" width="33.28515625" style="204" customWidth="1"/>
    <col min="5124" max="5124" width="11.42578125" style="204"/>
    <col min="5125" max="5125" width="53.42578125" style="204" customWidth="1"/>
    <col min="5126" max="5376" width="11.42578125" style="204"/>
    <col min="5377" max="5377" width="34" style="204" bestFit="1" customWidth="1"/>
    <col min="5378" max="5378" width="26.140625" style="204" customWidth="1"/>
    <col min="5379" max="5379" width="33.28515625" style="204" customWidth="1"/>
    <col min="5380" max="5380" width="11.42578125" style="204"/>
    <col min="5381" max="5381" width="53.42578125" style="204" customWidth="1"/>
    <col min="5382" max="5632" width="11.42578125" style="204"/>
    <col min="5633" max="5633" width="34" style="204" bestFit="1" customWidth="1"/>
    <col min="5634" max="5634" width="26.140625" style="204" customWidth="1"/>
    <col min="5635" max="5635" width="33.28515625" style="204" customWidth="1"/>
    <col min="5636" max="5636" width="11.42578125" style="204"/>
    <col min="5637" max="5637" width="53.42578125" style="204" customWidth="1"/>
    <col min="5638" max="5888" width="11.42578125" style="204"/>
    <col min="5889" max="5889" width="34" style="204" bestFit="1" customWidth="1"/>
    <col min="5890" max="5890" width="26.140625" style="204" customWidth="1"/>
    <col min="5891" max="5891" width="33.28515625" style="204" customWidth="1"/>
    <col min="5892" max="5892" width="11.42578125" style="204"/>
    <col min="5893" max="5893" width="53.42578125" style="204" customWidth="1"/>
    <col min="5894" max="6144" width="11.42578125" style="204"/>
    <col min="6145" max="6145" width="34" style="204" bestFit="1" customWidth="1"/>
    <col min="6146" max="6146" width="26.140625" style="204" customWidth="1"/>
    <col min="6147" max="6147" width="33.28515625" style="204" customWidth="1"/>
    <col min="6148" max="6148" width="11.42578125" style="204"/>
    <col min="6149" max="6149" width="53.42578125" style="204" customWidth="1"/>
    <col min="6150" max="6400" width="11.42578125" style="204"/>
    <col min="6401" max="6401" width="34" style="204" bestFit="1" customWidth="1"/>
    <col min="6402" max="6402" width="26.140625" style="204" customWidth="1"/>
    <col min="6403" max="6403" width="33.28515625" style="204" customWidth="1"/>
    <col min="6404" max="6404" width="11.42578125" style="204"/>
    <col min="6405" max="6405" width="53.42578125" style="204" customWidth="1"/>
    <col min="6406" max="6656" width="11.42578125" style="204"/>
    <col min="6657" max="6657" width="34" style="204" bestFit="1" customWidth="1"/>
    <col min="6658" max="6658" width="26.140625" style="204" customWidth="1"/>
    <col min="6659" max="6659" width="33.28515625" style="204" customWidth="1"/>
    <col min="6660" max="6660" width="11.42578125" style="204"/>
    <col min="6661" max="6661" width="53.42578125" style="204" customWidth="1"/>
    <col min="6662" max="6912" width="11.42578125" style="204"/>
    <col min="6913" max="6913" width="34" style="204" bestFit="1" customWidth="1"/>
    <col min="6914" max="6914" width="26.140625" style="204" customWidth="1"/>
    <col min="6915" max="6915" width="33.28515625" style="204" customWidth="1"/>
    <col min="6916" max="6916" width="11.42578125" style="204"/>
    <col min="6917" max="6917" width="53.42578125" style="204" customWidth="1"/>
    <col min="6918" max="7168" width="11.42578125" style="204"/>
    <col min="7169" max="7169" width="34" style="204" bestFit="1" customWidth="1"/>
    <col min="7170" max="7170" width="26.140625" style="204" customWidth="1"/>
    <col min="7171" max="7171" width="33.28515625" style="204" customWidth="1"/>
    <col min="7172" max="7172" width="11.42578125" style="204"/>
    <col min="7173" max="7173" width="53.42578125" style="204" customWidth="1"/>
    <col min="7174" max="7424" width="11.42578125" style="204"/>
    <col min="7425" max="7425" width="34" style="204" bestFit="1" customWidth="1"/>
    <col min="7426" max="7426" width="26.140625" style="204" customWidth="1"/>
    <col min="7427" max="7427" width="33.28515625" style="204" customWidth="1"/>
    <col min="7428" max="7428" width="11.42578125" style="204"/>
    <col min="7429" max="7429" width="53.42578125" style="204" customWidth="1"/>
    <col min="7430" max="7680" width="11.42578125" style="204"/>
    <col min="7681" max="7681" width="34" style="204" bestFit="1" customWidth="1"/>
    <col min="7682" max="7682" width="26.140625" style="204" customWidth="1"/>
    <col min="7683" max="7683" width="33.28515625" style="204" customWidth="1"/>
    <col min="7684" max="7684" width="11.42578125" style="204"/>
    <col min="7685" max="7685" width="53.42578125" style="204" customWidth="1"/>
    <col min="7686" max="7936" width="11.42578125" style="204"/>
    <col min="7937" max="7937" width="34" style="204" bestFit="1" customWidth="1"/>
    <col min="7938" max="7938" width="26.140625" style="204" customWidth="1"/>
    <col min="7939" max="7939" width="33.28515625" style="204" customWidth="1"/>
    <col min="7940" max="7940" width="11.42578125" style="204"/>
    <col min="7941" max="7941" width="53.42578125" style="204" customWidth="1"/>
    <col min="7942" max="8192" width="11.42578125" style="204"/>
    <col min="8193" max="8193" width="34" style="204" bestFit="1" customWidth="1"/>
    <col min="8194" max="8194" width="26.140625" style="204" customWidth="1"/>
    <col min="8195" max="8195" width="33.28515625" style="204" customWidth="1"/>
    <col min="8196" max="8196" width="11.42578125" style="204"/>
    <col min="8197" max="8197" width="53.42578125" style="204" customWidth="1"/>
    <col min="8198" max="8448" width="11.42578125" style="204"/>
    <col min="8449" max="8449" width="34" style="204" bestFit="1" customWidth="1"/>
    <col min="8450" max="8450" width="26.140625" style="204" customWidth="1"/>
    <col min="8451" max="8451" width="33.28515625" style="204" customWidth="1"/>
    <col min="8452" max="8452" width="11.42578125" style="204"/>
    <col min="8453" max="8453" width="53.42578125" style="204" customWidth="1"/>
    <col min="8454" max="8704" width="11.42578125" style="204"/>
    <col min="8705" max="8705" width="34" style="204" bestFit="1" customWidth="1"/>
    <col min="8706" max="8706" width="26.140625" style="204" customWidth="1"/>
    <col min="8707" max="8707" width="33.28515625" style="204" customWidth="1"/>
    <col min="8708" max="8708" width="11.42578125" style="204"/>
    <col min="8709" max="8709" width="53.42578125" style="204" customWidth="1"/>
    <col min="8710" max="8960" width="11.42578125" style="204"/>
    <col min="8961" max="8961" width="34" style="204" bestFit="1" customWidth="1"/>
    <col min="8962" max="8962" width="26.140625" style="204" customWidth="1"/>
    <col min="8963" max="8963" width="33.28515625" style="204" customWidth="1"/>
    <col min="8964" max="8964" width="11.42578125" style="204"/>
    <col min="8965" max="8965" width="53.42578125" style="204" customWidth="1"/>
    <col min="8966" max="9216" width="11.42578125" style="204"/>
    <col min="9217" max="9217" width="34" style="204" bestFit="1" customWidth="1"/>
    <col min="9218" max="9218" width="26.140625" style="204" customWidth="1"/>
    <col min="9219" max="9219" width="33.28515625" style="204" customWidth="1"/>
    <col min="9220" max="9220" width="11.42578125" style="204"/>
    <col min="9221" max="9221" width="53.42578125" style="204" customWidth="1"/>
    <col min="9222" max="9472" width="11.42578125" style="204"/>
    <col min="9473" max="9473" width="34" style="204" bestFit="1" customWidth="1"/>
    <col min="9474" max="9474" width="26.140625" style="204" customWidth="1"/>
    <col min="9475" max="9475" width="33.28515625" style="204" customWidth="1"/>
    <col min="9476" max="9476" width="11.42578125" style="204"/>
    <col min="9477" max="9477" width="53.42578125" style="204" customWidth="1"/>
    <col min="9478" max="9728" width="11.42578125" style="204"/>
    <col min="9729" max="9729" width="34" style="204" bestFit="1" customWidth="1"/>
    <col min="9730" max="9730" width="26.140625" style="204" customWidth="1"/>
    <col min="9731" max="9731" width="33.28515625" style="204" customWidth="1"/>
    <col min="9732" max="9732" width="11.42578125" style="204"/>
    <col min="9733" max="9733" width="53.42578125" style="204" customWidth="1"/>
    <col min="9734" max="9984" width="11.42578125" style="204"/>
    <col min="9985" max="9985" width="34" style="204" bestFit="1" customWidth="1"/>
    <col min="9986" max="9986" width="26.140625" style="204" customWidth="1"/>
    <col min="9987" max="9987" width="33.28515625" style="204" customWidth="1"/>
    <col min="9988" max="9988" width="11.42578125" style="204"/>
    <col min="9989" max="9989" width="53.42578125" style="204" customWidth="1"/>
    <col min="9990" max="10240" width="11.42578125" style="204"/>
    <col min="10241" max="10241" width="34" style="204" bestFit="1" customWidth="1"/>
    <col min="10242" max="10242" width="26.140625" style="204" customWidth="1"/>
    <col min="10243" max="10243" width="33.28515625" style="204" customWidth="1"/>
    <col min="10244" max="10244" width="11.42578125" style="204"/>
    <col min="10245" max="10245" width="53.42578125" style="204" customWidth="1"/>
    <col min="10246" max="10496" width="11.42578125" style="204"/>
    <col min="10497" max="10497" width="34" style="204" bestFit="1" customWidth="1"/>
    <col min="10498" max="10498" width="26.140625" style="204" customWidth="1"/>
    <col min="10499" max="10499" width="33.28515625" style="204" customWidth="1"/>
    <col min="10500" max="10500" width="11.42578125" style="204"/>
    <col min="10501" max="10501" width="53.42578125" style="204" customWidth="1"/>
    <col min="10502" max="10752" width="11.42578125" style="204"/>
    <col min="10753" max="10753" width="34" style="204" bestFit="1" customWidth="1"/>
    <col min="10754" max="10754" width="26.140625" style="204" customWidth="1"/>
    <col min="10755" max="10755" width="33.28515625" style="204" customWidth="1"/>
    <col min="10756" max="10756" width="11.42578125" style="204"/>
    <col min="10757" max="10757" width="53.42578125" style="204" customWidth="1"/>
    <col min="10758" max="11008" width="11.42578125" style="204"/>
    <col min="11009" max="11009" width="34" style="204" bestFit="1" customWidth="1"/>
    <col min="11010" max="11010" width="26.140625" style="204" customWidth="1"/>
    <col min="11011" max="11011" width="33.28515625" style="204" customWidth="1"/>
    <col min="11012" max="11012" width="11.42578125" style="204"/>
    <col min="11013" max="11013" width="53.42578125" style="204" customWidth="1"/>
    <col min="11014" max="11264" width="11.42578125" style="204"/>
    <col min="11265" max="11265" width="34" style="204" bestFit="1" customWidth="1"/>
    <col min="11266" max="11266" width="26.140625" style="204" customWidth="1"/>
    <col min="11267" max="11267" width="33.28515625" style="204" customWidth="1"/>
    <col min="11268" max="11268" width="11.42578125" style="204"/>
    <col min="11269" max="11269" width="53.42578125" style="204" customWidth="1"/>
    <col min="11270" max="11520" width="11.42578125" style="204"/>
    <col min="11521" max="11521" width="34" style="204" bestFit="1" customWidth="1"/>
    <col min="11522" max="11522" width="26.140625" style="204" customWidth="1"/>
    <col min="11523" max="11523" width="33.28515625" style="204" customWidth="1"/>
    <col min="11524" max="11524" width="11.42578125" style="204"/>
    <col min="11525" max="11525" width="53.42578125" style="204" customWidth="1"/>
    <col min="11526" max="11776" width="11.42578125" style="204"/>
    <col min="11777" max="11777" width="34" style="204" bestFit="1" customWidth="1"/>
    <col min="11778" max="11778" width="26.140625" style="204" customWidth="1"/>
    <col min="11779" max="11779" width="33.28515625" style="204" customWidth="1"/>
    <col min="11780" max="11780" width="11.42578125" style="204"/>
    <col min="11781" max="11781" width="53.42578125" style="204" customWidth="1"/>
    <col min="11782" max="12032" width="11.42578125" style="204"/>
    <col min="12033" max="12033" width="34" style="204" bestFit="1" customWidth="1"/>
    <col min="12034" max="12034" width="26.140625" style="204" customWidth="1"/>
    <col min="12035" max="12035" width="33.28515625" style="204" customWidth="1"/>
    <col min="12036" max="12036" width="11.42578125" style="204"/>
    <col min="12037" max="12037" width="53.42578125" style="204" customWidth="1"/>
    <col min="12038" max="12288" width="11.42578125" style="204"/>
    <col min="12289" max="12289" width="34" style="204" bestFit="1" customWidth="1"/>
    <col min="12290" max="12290" width="26.140625" style="204" customWidth="1"/>
    <col min="12291" max="12291" width="33.28515625" style="204" customWidth="1"/>
    <col min="12292" max="12292" width="11.42578125" style="204"/>
    <col min="12293" max="12293" width="53.42578125" style="204" customWidth="1"/>
    <col min="12294" max="12544" width="11.42578125" style="204"/>
    <col min="12545" max="12545" width="34" style="204" bestFit="1" customWidth="1"/>
    <col min="12546" max="12546" width="26.140625" style="204" customWidth="1"/>
    <col min="12547" max="12547" width="33.28515625" style="204" customWidth="1"/>
    <col min="12548" max="12548" width="11.42578125" style="204"/>
    <col min="12549" max="12549" width="53.42578125" style="204" customWidth="1"/>
    <col min="12550" max="12800" width="11.42578125" style="204"/>
    <col min="12801" max="12801" width="34" style="204" bestFit="1" customWidth="1"/>
    <col min="12802" max="12802" width="26.140625" style="204" customWidth="1"/>
    <col min="12803" max="12803" width="33.28515625" style="204" customWidth="1"/>
    <col min="12804" max="12804" width="11.42578125" style="204"/>
    <col min="12805" max="12805" width="53.42578125" style="204" customWidth="1"/>
    <col min="12806" max="13056" width="11.42578125" style="204"/>
    <col min="13057" max="13057" width="34" style="204" bestFit="1" customWidth="1"/>
    <col min="13058" max="13058" width="26.140625" style="204" customWidth="1"/>
    <col min="13059" max="13059" width="33.28515625" style="204" customWidth="1"/>
    <col min="13060" max="13060" width="11.42578125" style="204"/>
    <col min="13061" max="13061" width="53.42578125" style="204" customWidth="1"/>
    <col min="13062" max="13312" width="11.42578125" style="204"/>
    <col min="13313" max="13313" width="34" style="204" bestFit="1" customWidth="1"/>
    <col min="13314" max="13314" width="26.140625" style="204" customWidth="1"/>
    <col min="13315" max="13315" width="33.28515625" style="204" customWidth="1"/>
    <col min="13316" max="13316" width="11.42578125" style="204"/>
    <col min="13317" max="13317" width="53.42578125" style="204" customWidth="1"/>
    <col min="13318" max="13568" width="11.42578125" style="204"/>
    <col min="13569" max="13569" width="34" style="204" bestFit="1" customWidth="1"/>
    <col min="13570" max="13570" width="26.140625" style="204" customWidth="1"/>
    <col min="13571" max="13571" width="33.28515625" style="204" customWidth="1"/>
    <col min="13572" max="13572" width="11.42578125" style="204"/>
    <col min="13573" max="13573" width="53.42578125" style="204" customWidth="1"/>
    <col min="13574" max="13824" width="11.42578125" style="204"/>
    <col min="13825" max="13825" width="34" style="204" bestFit="1" customWidth="1"/>
    <col min="13826" max="13826" width="26.140625" style="204" customWidth="1"/>
    <col min="13827" max="13827" width="33.28515625" style="204" customWidth="1"/>
    <col min="13828" max="13828" width="11.42578125" style="204"/>
    <col min="13829" max="13829" width="53.42578125" style="204" customWidth="1"/>
    <col min="13830" max="14080" width="11.42578125" style="204"/>
    <col min="14081" max="14081" width="34" style="204" bestFit="1" customWidth="1"/>
    <col min="14082" max="14082" width="26.140625" style="204" customWidth="1"/>
    <col min="14083" max="14083" width="33.28515625" style="204" customWidth="1"/>
    <col min="14084" max="14084" width="11.42578125" style="204"/>
    <col min="14085" max="14085" width="53.42578125" style="204" customWidth="1"/>
    <col min="14086" max="14336" width="11.42578125" style="204"/>
    <col min="14337" max="14337" width="34" style="204" bestFit="1" customWidth="1"/>
    <col min="14338" max="14338" width="26.140625" style="204" customWidth="1"/>
    <col min="14339" max="14339" width="33.28515625" style="204" customWidth="1"/>
    <col min="14340" max="14340" width="11.42578125" style="204"/>
    <col min="14341" max="14341" width="53.42578125" style="204" customWidth="1"/>
    <col min="14342" max="14592" width="11.42578125" style="204"/>
    <col min="14593" max="14593" width="34" style="204" bestFit="1" customWidth="1"/>
    <col min="14594" max="14594" width="26.140625" style="204" customWidth="1"/>
    <col min="14595" max="14595" width="33.28515625" style="204" customWidth="1"/>
    <col min="14596" max="14596" width="11.42578125" style="204"/>
    <col min="14597" max="14597" width="53.42578125" style="204" customWidth="1"/>
    <col min="14598" max="14848" width="11.42578125" style="204"/>
    <col min="14849" max="14849" width="34" style="204" bestFit="1" customWidth="1"/>
    <col min="14850" max="14850" width="26.140625" style="204" customWidth="1"/>
    <col min="14851" max="14851" width="33.28515625" style="204" customWidth="1"/>
    <col min="14852" max="14852" width="11.42578125" style="204"/>
    <col min="14853" max="14853" width="53.42578125" style="204" customWidth="1"/>
    <col min="14854" max="15104" width="11.42578125" style="204"/>
    <col min="15105" max="15105" width="34" style="204" bestFit="1" customWidth="1"/>
    <col min="15106" max="15106" width="26.140625" style="204" customWidth="1"/>
    <col min="15107" max="15107" width="33.28515625" style="204" customWidth="1"/>
    <col min="15108" max="15108" width="11.42578125" style="204"/>
    <col min="15109" max="15109" width="53.42578125" style="204" customWidth="1"/>
    <col min="15110" max="15360" width="11.42578125" style="204"/>
    <col min="15361" max="15361" width="34" style="204" bestFit="1" customWidth="1"/>
    <col min="15362" max="15362" width="26.140625" style="204" customWidth="1"/>
    <col min="15363" max="15363" width="33.28515625" style="204" customWidth="1"/>
    <col min="15364" max="15364" width="11.42578125" style="204"/>
    <col min="15365" max="15365" width="53.42578125" style="204" customWidth="1"/>
    <col min="15366" max="15616" width="11.42578125" style="204"/>
    <col min="15617" max="15617" width="34" style="204" bestFit="1" customWidth="1"/>
    <col min="15618" max="15618" width="26.140625" style="204" customWidth="1"/>
    <col min="15619" max="15619" width="33.28515625" style="204" customWidth="1"/>
    <col min="15620" max="15620" width="11.42578125" style="204"/>
    <col min="15621" max="15621" width="53.42578125" style="204" customWidth="1"/>
    <col min="15622" max="15872" width="11.42578125" style="204"/>
    <col min="15873" max="15873" width="34" style="204" bestFit="1" customWidth="1"/>
    <col min="15874" max="15874" width="26.140625" style="204" customWidth="1"/>
    <col min="15875" max="15875" width="33.28515625" style="204" customWidth="1"/>
    <col min="15876" max="15876" width="11.42578125" style="204"/>
    <col min="15877" max="15877" width="53.42578125" style="204" customWidth="1"/>
    <col min="15878" max="16128" width="11.42578125" style="204"/>
    <col min="16129" max="16129" width="34" style="204" bestFit="1" customWidth="1"/>
    <col min="16130" max="16130" width="26.140625" style="204" customWidth="1"/>
    <col min="16131" max="16131" width="33.28515625" style="204" customWidth="1"/>
    <col min="16132" max="16132" width="11.42578125" style="204"/>
    <col min="16133" max="16133" width="53.42578125" style="204" customWidth="1"/>
    <col min="16134" max="16384" width="11.42578125" style="204"/>
  </cols>
  <sheetData>
    <row r="1" spans="1:5" ht="32.25" thickTop="1" x14ac:dyDescent="0.25">
      <c r="A1" s="54" t="s">
        <v>1710</v>
      </c>
      <c r="B1" s="55" t="s">
        <v>1711</v>
      </c>
      <c r="C1" s="56" t="s">
        <v>1712</v>
      </c>
    </row>
    <row r="2" spans="1:5" ht="15.75" x14ac:dyDescent="0.25">
      <c r="A2" s="794" t="s">
        <v>73</v>
      </c>
      <c r="B2" s="795" t="s">
        <v>73</v>
      </c>
      <c r="C2" s="796" t="s">
        <v>73</v>
      </c>
      <c r="E2" s="204" t="str">
        <f>+C2</f>
        <v>0-0</v>
      </c>
    </row>
    <row r="3" spans="1:5" ht="30" x14ac:dyDescent="0.25">
      <c r="A3" s="854" t="s">
        <v>1713</v>
      </c>
      <c r="B3" s="855" t="s">
        <v>1714</v>
      </c>
      <c r="C3" s="856" t="s">
        <v>1715</v>
      </c>
      <c r="E3" s="204" t="str">
        <f>+CONCATENATE(C3," - ",B3)</f>
        <v>WALFRANDO ADOLFO FORERO BEJARANO - ALCALDE MUNICPAL</v>
      </c>
    </row>
    <row r="4" spans="1:5" ht="30" x14ac:dyDescent="0.25">
      <c r="A4" s="854" t="s">
        <v>1716</v>
      </c>
      <c r="B4" s="855" t="s">
        <v>1717</v>
      </c>
      <c r="C4" s="856" t="s">
        <v>1718</v>
      </c>
      <c r="E4" s="204" t="str">
        <f t="shared" ref="E4:E44" si="0">+CONCATENATE(C4," - ",B4)</f>
        <v>MARLA PATRICIA BARBOSA PALLARES - JEFE OFICINA JURÍDICA Y DE CONTRATACIÓN</v>
      </c>
    </row>
    <row r="5" spans="1:5" ht="30" x14ac:dyDescent="0.25">
      <c r="A5" s="854" t="s">
        <v>1719</v>
      </c>
      <c r="B5" s="855" t="s">
        <v>1720</v>
      </c>
      <c r="C5" s="856" t="s">
        <v>1721</v>
      </c>
      <c r="E5" s="204" t="str">
        <f t="shared" si="0"/>
        <v>LILIANA FERNANDA LÓPEZ RIVEROS - JEFE DE CONTROL INTERNO</v>
      </c>
    </row>
    <row r="6" spans="1:5" ht="30" x14ac:dyDescent="0.25">
      <c r="A6" s="854" t="s">
        <v>1722</v>
      </c>
      <c r="B6" s="855" t="s">
        <v>1723</v>
      </c>
      <c r="C6" s="856" t="s">
        <v>1724</v>
      </c>
      <c r="E6" s="204" t="str">
        <f t="shared" si="0"/>
        <v>LUIS ARMANDO SUÁREZ MORENO - SECRETARIO DE GOBIERNO</v>
      </c>
    </row>
    <row r="7" spans="1:5" ht="42.75" x14ac:dyDescent="0.25">
      <c r="A7" s="854" t="s">
        <v>1725</v>
      </c>
      <c r="B7" s="855" t="s">
        <v>1726</v>
      </c>
      <c r="C7" s="856" t="s">
        <v>1727</v>
      </c>
      <c r="E7" s="204" t="str">
        <f t="shared" si="0"/>
        <v>MARTHA LUCÍA FARIAS VILLARRAGA - SECRETARIA DE DESARROLLO ADMINISTRATIVO</v>
      </c>
    </row>
    <row r="8" spans="1:5" ht="42.75" x14ac:dyDescent="0.25">
      <c r="A8" s="854" t="s">
        <v>1915</v>
      </c>
      <c r="B8" s="855" t="s">
        <v>1914</v>
      </c>
      <c r="C8" s="856" t="s">
        <v>1728</v>
      </c>
      <c r="E8" s="204" t="str">
        <f t="shared" si="0"/>
        <v>LUZ EMILCE MAMBUSCAY LÓPEZ - SECRETARIA DESARROLLO ECONÓMICO</v>
      </c>
    </row>
    <row r="9" spans="1:5" ht="42.75" x14ac:dyDescent="0.25">
      <c r="A9" s="854" t="s">
        <v>1729</v>
      </c>
      <c r="B9" s="855" t="s">
        <v>1730</v>
      </c>
      <c r="C9" s="856" t="s">
        <v>1731</v>
      </c>
      <c r="E9" s="204" t="str">
        <f t="shared" si="0"/>
        <v>LINETH MAGALY VÁSQUEZ ROCHA - SECRETARIA DE DESARROLLO E INTEGRACIÓN SOCIAL</v>
      </c>
    </row>
    <row r="10" spans="1:5" ht="30" x14ac:dyDescent="0.25">
      <c r="A10" s="854" t="s">
        <v>1732</v>
      </c>
      <c r="B10" s="855" t="s">
        <v>1913</v>
      </c>
      <c r="C10" s="856" t="s">
        <v>1912</v>
      </c>
      <c r="E10" s="204" t="str">
        <f t="shared" si="0"/>
        <v>CARLOS JULIÁN NAVAS MARTÍNEZ - SECRETARIO DEL AMBIENTE</v>
      </c>
    </row>
    <row r="11" spans="1:5" ht="30" x14ac:dyDescent="0.25">
      <c r="A11" s="854" t="s">
        <v>1733</v>
      </c>
      <c r="B11" s="855" t="s">
        <v>1734</v>
      </c>
      <c r="C11" s="856" t="s">
        <v>1735</v>
      </c>
      <c r="E11" s="204" t="str">
        <f t="shared" si="0"/>
        <v>CÉSAR ORLANDO CHAPETÓN MARTÍNEZ  - SECRETARIO DE PLANEACIÓN</v>
      </c>
    </row>
    <row r="12" spans="1:5" x14ac:dyDescent="0.25">
      <c r="A12" s="854" t="s">
        <v>1736</v>
      </c>
      <c r="B12" s="855" t="s">
        <v>1737</v>
      </c>
      <c r="C12" s="856" t="s">
        <v>1738</v>
      </c>
      <c r="E12" s="204" t="str">
        <f t="shared" si="0"/>
        <v>WILMAN CONTRERAS MATEUS - SECRETARIO DE SALUD</v>
      </c>
    </row>
    <row r="13" spans="1:5" ht="30" x14ac:dyDescent="0.25">
      <c r="A13" s="857" t="s">
        <v>1739</v>
      </c>
      <c r="B13" s="855" t="s">
        <v>1740</v>
      </c>
      <c r="C13" s="856" t="s">
        <v>1741</v>
      </c>
      <c r="E13" s="204" t="str">
        <f t="shared" si="0"/>
        <v>SANDRA PATRICIA GARAVITO MORENO - SECRETARIA DE EDUCACIÓN</v>
      </c>
    </row>
    <row r="14" spans="1:5" ht="30" x14ac:dyDescent="0.25">
      <c r="A14" s="854" t="s">
        <v>1742</v>
      </c>
      <c r="B14" s="855" t="s">
        <v>1743</v>
      </c>
      <c r="C14" s="856" t="s">
        <v>1744</v>
      </c>
      <c r="E14" s="204" t="str">
        <f t="shared" si="0"/>
        <v>RAFAEL ANTONIO RIVERA GÓMEZ - SECRETARIO DE INFRAESTRUCTURA</v>
      </c>
    </row>
    <row r="15" spans="1:5" ht="30" x14ac:dyDescent="0.25">
      <c r="A15" s="854" t="s">
        <v>1745</v>
      </c>
      <c r="B15" s="855" t="s">
        <v>1746</v>
      </c>
      <c r="C15" s="856" t="s">
        <v>1747</v>
      </c>
      <c r="E15" s="204" t="str">
        <f t="shared" si="0"/>
        <v>MIGUEL ALEJANDRO RICO SUAREZ - SECRETARIO DE HACIENDA</v>
      </c>
    </row>
    <row r="16" spans="1:5" ht="42.75" x14ac:dyDescent="0.25">
      <c r="A16" s="854" t="s">
        <v>1748</v>
      </c>
      <c r="B16" s="855" t="s">
        <v>1749</v>
      </c>
      <c r="C16" s="856" t="s">
        <v>1750</v>
      </c>
      <c r="E16" s="204" t="str">
        <f t="shared" si="0"/>
        <v>JOHNNY FERNEY PÉREZ QUINCHE - SECRETARIO DE CULTURA Y PATRIMONIO</v>
      </c>
    </row>
    <row r="17" spans="1:5" ht="30" x14ac:dyDescent="0.25">
      <c r="A17" s="854" t="s">
        <v>1751</v>
      </c>
      <c r="B17" s="855" t="s">
        <v>1752</v>
      </c>
      <c r="C17" s="856" t="s">
        <v>1753</v>
      </c>
      <c r="E17" s="204" t="str">
        <f t="shared" si="0"/>
        <v>ANGELA PATRICIA NAVARRO LÓPEZ - JEFE DE COMUNICACIONES</v>
      </c>
    </row>
    <row r="18" spans="1:5" ht="57" x14ac:dyDescent="0.25">
      <c r="A18" s="854" t="s">
        <v>1754</v>
      </c>
      <c r="B18" s="855" t="s">
        <v>1755</v>
      </c>
      <c r="C18" s="856" t="s">
        <v>1756</v>
      </c>
      <c r="E18" s="204" t="str">
        <f t="shared" si="0"/>
        <v>HENRY HERNAN PRIETO VALBUENA - DIRECTOR EJECUTIVO INSTITUTO DE RECREACIÓN Y DEPORTE</v>
      </c>
    </row>
    <row r="19" spans="1:5" ht="30" x14ac:dyDescent="0.25">
      <c r="A19" s="854" t="s">
        <v>1757</v>
      </c>
      <c r="B19" s="855" t="s">
        <v>1758</v>
      </c>
      <c r="C19" s="856" t="s">
        <v>1759</v>
      </c>
      <c r="E19" s="204" t="str">
        <f t="shared" si="0"/>
        <v xml:space="preserve">FRANCISCO ALIRIO RODRÍGUEZ SANTOS - GERENTE EMPRESA DE SERVICIOS PÚBLICOS </v>
      </c>
    </row>
    <row r="20" spans="1:5" ht="15.75" x14ac:dyDescent="0.25">
      <c r="A20" s="858"/>
      <c r="B20" s="859"/>
      <c r="C20" s="860"/>
      <c r="E20" s="204" t="str">
        <f t="shared" si="0"/>
        <v xml:space="preserve"> - </v>
      </c>
    </row>
    <row r="21" spans="1:5" ht="15.75" x14ac:dyDescent="0.25">
      <c r="A21" s="858"/>
      <c r="B21" s="859"/>
      <c r="C21" s="860"/>
      <c r="E21" s="204" t="str">
        <f t="shared" si="0"/>
        <v xml:space="preserve"> - </v>
      </c>
    </row>
    <row r="22" spans="1:5" ht="15.75" x14ac:dyDescent="0.25">
      <c r="A22" s="858"/>
      <c r="B22" s="859"/>
      <c r="C22" s="860"/>
      <c r="E22" s="204" t="str">
        <f t="shared" si="0"/>
        <v xml:space="preserve"> - </v>
      </c>
    </row>
    <row r="23" spans="1:5" ht="15.75" x14ac:dyDescent="0.25">
      <c r="A23" s="858"/>
      <c r="B23" s="859"/>
      <c r="C23" s="860"/>
      <c r="E23" s="204" t="str">
        <f t="shared" si="0"/>
        <v xml:space="preserve"> - </v>
      </c>
    </row>
    <row r="24" spans="1:5" ht="15.75" x14ac:dyDescent="0.25">
      <c r="A24" s="858"/>
      <c r="B24" s="859"/>
      <c r="C24" s="860"/>
      <c r="E24" s="204" t="str">
        <f t="shared" si="0"/>
        <v xml:space="preserve"> - </v>
      </c>
    </row>
    <row r="25" spans="1:5" ht="15.75" x14ac:dyDescent="0.25">
      <c r="A25" s="858"/>
      <c r="B25" s="859"/>
      <c r="C25" s="860"/>
      <c r="E25" s="204" t="str">
        <f t="shared" si="0"/>
        <v xml:space="preserve"> - </v>
      </c>
    </row>
    <row r="26" spans="1:5" ht="15.75" x14ac:dyDescent="0.25">
      <c r="A26" s="858"/>
      <c r="B26" s="859"/>
      <c r="C26" s="860"/>
      <c r="E26" s="204" t="str">
        <f t="shared" si="0"/>
        <v xml:space="preserve"> - </v>
      </c>
    </row>
    <row r="27" spans="1:5" ht="15.75" x14ac:dyDescent="0.25">
      <c r="A27" s="858"/>
      <c r="B27" s="859"/>
      <c r="C27" s="860"/>
      <c r="E27" s="204" t="str">
        <f t="shared" si="0"/>
        <v xml:space="preserve"> - </v>
      </c>
    </row>
    <row r="28" spans="1:5" ht="15.75" x14ac:dyDescent="0.25">
      <c r="A28" s="858"/>
      <c r="B28" s="859"/>
      <c r="C28" s="860"/>
      <c r="E28" s="204" t="str">
        <f t="shared" si="0"/>
        <v xml:space="preserve"> - </v>
      </c>
    </row>
    <row r="29" spans="1:5" ht="15.75" x14ac:dyDescent="0.25">
      <c r="A29" s="858"/>
      <c r="B29" s="859"/>
      <c r="C29" s="860"/>
      <c r="E29" s="204" t="str">
        <f t="shared" si="0"/>
        <v xml:space="preserve"> - </v>
      </c>
    </row>
    <row r="30" spans="1:5" x14ac:dyDescent="0.25">
      <c r="A30" s="861"/>
      <c r="B30" s="862"/>
      <c r="C30" s="863"/>
      <c r="E30" s="204" t="str">
        <f t="shared" si="0"/>
        <v xml:space="preserve"> - </v>
      </c>
    </row>
    <row r="31" spans="1:5" x14ac:dyDescent="0.25">
      <c r="A31" s="861"/>
      <c r="B31" s="862"/>
      <c r="C31" s="863"/>
      <c r="E31" s="204" t="str">
        <f t="shared" si="0"/>
        <v xml:space="preserve"> - </v>
      </c>
    </row>
    <row r="32" spans="1:5" x14ac:dyDescent="0.25">
      <c r="A32" s="861"/>
      <c r="B32" s="862"/>
      <c r="C32" s="863"/>
      <c r="E32" s="204" t="str">
        <f t="shared" si="0"/>
        <v xml:space="preserve"> - </v>
      </c>
    </row>
    <row r="33" spans="1:5" x14ac:dyDescent="0.25">
      <c r="A33" s="861"/>
      <c r="B33" s="862"/>
      <c r="C33" s="863"/>
      <c r="E33" s="204" t="str">
        <f t="shared" si="0"/>
        <v xml:space="preserve"> - </v>
      </c>
    </row>
    <row r="34" spans="1:5" x14ac:dyDescent="0.25">
      <c r="A34" s="861"/>
      <c r="B34" s="862"/>
      <c r="C34" s="863"/>
      <c r="E34" s="204" t="str">
        <f t="shared" si="0"/>
        <v xml:space="preserve"> - </v>
      </c>
    </row>
    <row r="35" spans="1:5" x14ac:dyDescent="0.25">
      <c r="A35" s="861"/>
      <c r="B35" s="862"/>
      <c r="C35" s="863"/>
      <c r="E35" s="204" t="str">
        <f t="shared" si="0"/>
        <v xml:space="preserve"> - </v>
      </c>
    </row>
    <row r="36" spans="1:5" x14ac:dyDescent="0.25">
      <c r="A36" s="861"/>
      <c r="B36" s="862"/>
      <c r="C36" s="863"/>
      <c r="E36" s="204" t="str">
        <f t="shared" si="0"/>
        <v xml:space="preserve"> - </v>
      </c>
    </row>
    <row r="37" spans="1:5" x14ac:dyDescent="0.25">
      <c r="A37" s="861"/>
      <c r="B37" s="862"/>
      <c r="C37" s="863"/>
      <c r="E37" s="204" t="str">
        <f t="shared" si="0"/>
        <v xml:space="preserve"> - </v>
      </c>
    </row>
    <row r="38" spans="1:5" x14ac:dyDescent="0.25">
      <c r="A38" s="861"/>
      <c r="B38" s="862"/>
      <c r="C38" s="863"/>
      <c r="E38" s="204" t="str">
        <f t="shared" si="0"/>
        <v xml:space="preserve"> - </v>
      </c>
    </row>
    <row r="39" spans="1:5" x14ac:dyDescent="0.25">
      <c r="A39" s="861"/>
      <c r="B39" s="862"/>
      <c r="C39" s="863"/>
      <c r="E39" s="204" t="str">
        <f t="shared" si="0"/>
        <v xml:space="preserve"> - </v>
      </c>
    </row>
    <row r="40" spans="1:5" x14ac:dyDescent="0.25">
      <c r="A40" s="861"/>
      <c r="B40" s="862"/>
      <c r="C40" s="863"/>
      <c r="E40" s="204" t="str">
        <f t="shared" si="0"/>
        <v xml:space="preserve"> - </v>
      </c>
    </row>
    <row r="41" spans="1:5" x14ac:dyDescent="0.25">
      <c r="A41" s="861"/>
      <c r="B41" s="862"/>
      <c r="C41" s="863"/>
      <c r="E41" s="204" t="str">
        <f t="shared" si="0"/>
        <v xml:space="preserve"> - </v>
      </c>
    </row>
    <row r="42" spans="1:5" x14ac:dyDescent="0.25">
      <c r="A42" s="861"/>
      <c r="B42" s="862"/>
      <c r="C42" s="863"/>
      <c r="E42" s="204" t="str">
        <f t="shared" si="0"/>
        <v xml:space="preserve"> - </v>
      </c>
    </row>
    <row r="43" spans="1:5" x14ac:dyDescent="0.25">
      <c r="A43" s="861"/>
      <c r="B43" s="862"/>
      <c r="C43" s="863"/>
      <c r="E43" s="204" t="str">
        <f t="shared" si="0"/>
        <v xml:space="preserve"> - </v>
      </c>
    </row>
    <row r="44" spans="1:5" ht="15.75" thickBot="1" x14ac:dyDescent="0.3">
      <c r="A44" s="864"/>
      <c r="B44" s="865"/>
      <c r="C44" s="866"/>
      <c r="E44" s="204"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04" hidden="1" customWidth="1"/>
    <col min="2" max="3" width="24.5703125" style="204" customWidth="1"/>
    <col min="4" max="4" width="44.85546875" style="204" customWidth="1"/>
    <col min="5" max="257" width="24.5703125" style="204"/>
    <col min="258" max="259" width="24.5703125" style="204" customWidth="1"/>
    <col min="260" max="260" width="44.85546875" style="204" customWidth="1"/>
    <col min="261" max="513" width="24.5703125" style="204"/>
    <col min="514" max="515" width="24.5703125" style="204" customWidth="1"/>
    <col min="516" max="516" width="44.85546875" style="204" customWidth="1"/>
    <col min="517" max="769" width="24.5703125" style="204"/>
    <col min="770" max="771" width="24.5703125" style="204" customWidth="1"/>
    <col min="772" max="772" width="44.85546875" style="204" customWidth="1"/>
    <col min="773" max="1025" width="24.5703125" style="204"/>
    <col min="1026" max="1027" width="24.5703125" style="204" customWidth="1"/>
    <col min="1028" max="1028" width="44.85546875" style="204" customWidth="1"/>
    <col min="1029" max="1281" width="24.5703125" style="204"/>
    <col min="1282" max="1283" width="24.5703125" style="204" customWidth="1"/>
    <col min="1284" max="1284" width="44.85546875" style="204" customWidth="1"/>
    <col min="1285" max="1537" width="24.5703125" style="204"/>
    <col min="1538" max="1539" width="24.5703125" style="204" customWidth="1"/>
    <col min="1540" max="1540" width="44.85546875" style="204" customWidth="1"/>
    <col min="1541" max="1793" width="24.5703125" style="204"/>
    <col min="1794" max="1795" width="24.5703125" style="204" customWidth="1"/>
    <col min="1796" max="1796" width="44.85546875" style="204" customWidth="1"/>
    <col min="1797" max="2049" width="24.5703125" style="204"/>
    <col min="2050" max="2051" width="24.5703125" style="204" customWidth="1"/>
    <col min="2052" max="2052" width="44.85546875" style="204" customWidth="1"/>
    <col min="2053" max="2305" width="24.5703125" style="204"/>
    <col min="2306" max="2307" width="24.5703125" style="204" customWidth="1"/>
    <col min="2308" max="2308" width="44.85546875" style="204" customWidth="1"/>
    <col min="2309" max="2561" width="24.5703125" style="204"/>
    <col min="2562" max="2563" width="24.5703125" style="204" customWidth="1"/>
    <col min="2564" max="2564" width="44.85546875" style="204" customWidth="1"/>
    <col min="2565" max="2817" width="24.5703125" style="204"/>
    <col min="2818" max="2819" width="24.5703125" style="204" customWidth="1"/>
    <col min="2820" max="2820" width="44.85546875" style="204" customWidth="1"/>
    <col min="2821" max="3073" width="24.5703125" style="204"/>
    <col min="3074" max="3075" width="24.5703125" style="204" customWidth="1"/>
    <col min="3076" max="3076" width="44.85546875" style="204" customWidth="1"/>
    <col min="3077" max="3329" width="24.5703125" style="204"/>
    <col min="3330" max="3331" width="24.5703125" style="204" customWidth="1"/>
    <col min="3332" max="3332" width="44.85546875" style="204" customWidth="1"/>
    <col min="3333" max="3585" width="24.5703125" style="204"/>
    <col min="3586" max="3587" width="24.5703125" style="204" customWidth="1"/>
    <col min="3588" max="3588" width="44.85546875" style="204" customWidth="1"/>
    <col min="3589" max="3841" width="24.5703125" style="204"/>
    <col min="3842" max="3843" width="24.5703125" style="204" customWidth="1"/>
    <col min="3844" max="3844" width="44.85546875" style="204" customWidth="1"/>
    <col min="3845" max="4097" width="24.5703125" style="204"/>
    <col min="4098" max="4099" width="24.5703125" style="204" customWidth="1"/>
    <col min="4100" max="4100" width="44.85546875" style="204" customWidth="1"/>
    <col min="4101" max="4353" width="24.5703125" style="204"/>
    <col min="4354" max="4355" width="24.5703125" style="204" customWidth="1"/>
    <col min="4356" max="4356" width="44.85546875" style="204" customWidth="1"/>
    <col min="4357" max="4609" width="24.5703125" style="204"/>
    <col min="4610" max="4611" width="24.5703125" style="204" customWidth="1"/>
    <col min="4612" max="4612" width="44.85546875" style="204" customWidth="1"/>
    <col min="4613" max="4865" width="24.5703125" style="204"/>
    <col min="4866" max="4867" width="24.5703125" style="204" customWidth="1"/>
    <col min="4868" max="4868" width="44.85546875" style="204" customWidth="1"/>
    <col min="4869" max="5121" width="24.5703125" style="204"/>
    <col min="5122" max="5123" width="24.5703125" style="204" customWidth="1"/>
    <col min="5124" max="5124" width="44.85546875" style="204" customWidth="1"/>
    <col min="5125" max="5377" width="24.5703125" style="204"/>
    <col min="5378" max="5379" width="24.5703125" style="204" customWidth="1"/>
    <col min="5380" max="5380" width="44.85546875" style="204" customWidth="1"/>
    <col min="5381" max="5633" width="24.5703125" style="204"/>
    <col min="5634" max="5635" width="24.5703125" style="204" customWidth="1"/>
    <col min="5636" max="5636" width="44.85546875" style="204" customWidth="1"/>
    <col min="5637" max="5889" width="24.5703125" style="204"/>
    <col min="5890" max="5891" width="24.5703125" style="204" customWidth="1"/>
    <col min="5892" max="5892" width="44.85546875" style="204" customWidth="1"/>
    <col min="5893" max="6145" width="24.5703125" style="204"/>
    <col min="6146" max="6147" width="24.5703125" style="204" customWidth="1"/>
    <col min="6148" max="6148" width="44.85546875" style="204" customWidth="1"/>
    <col min="6149" max="6401" width="24.5703125" style="204"/>
    <col min="6402" max="6403" width="24.5703125" style="204" customWidth="1"/>
    <col min="6404" max="6404" width="44.85546875" style="204" customWidth="1"/>
    <col min="6405" max="6657" width="24.5703125" style="204"/>
    <col min="6658" max="6659" width="24.5703125" style="204" customWidth="1"/>
    <col min="6660" max="6660" width="44.85546875" style="204" customWidth="1"/>
    <col min="6661" max="6913" width="24.5703125" style="204"/>
    <col min="6914" max="6915" width="24.5703125" style="204" customWidth="1"/>
    <col min="6916" max="6916" width="44.85546875" style="204" customWidth="1"/>
    <col min="6917" max="7169" width="24.5703125" style="204"/>
    <col min="7170" max="7171" width="24.5703125" style="204" customWidth="1"/>
    <col min="7172" max="7172" width="44.85546875" style="204" customWidth="1"/>
    <col min="7173" max="7425" width="24.5703125" style="204"/>
    <col min="7426" max="7427" width="24.5703125" style="204" customWidth="1"/>
    <col min="7428" max="7428" width="44.85546875" style="204" customWidth="1"/>
    <col min="7429" max="7681" width="24.5703125" style="204"/>
    <col min="7682" max="7683" width="24.5703125" style="204" customWidth="1"/>
    <col min="7684" max="7684" width="44.85546875" style="204" customWidth="1"/>
    <col min="7685" max="7937" width="24.5703125" style="204"/>
    <col min="7938" max="7939" width="24.5703125" style="204" customWidth="1"/>
    <col min="7940" max="7940" width="44.85546875" style="204" customWidth="1"/>
    <col min="7941" max="8193" width="24.5703125" style="204"/>
    <col min="8194" max="8195" width="24.5703125" style="204" customWidth="1"/>
    <col min="8196" max="8196" width="44.85546875" style="204" customWidth="1"/>
    <col min="8197" max="8449" width="24.5703125" style="204"/>
    <col min="8450" max="8451" width="24.5703125" style="204" customWidth="1"/>
    <col min="8452" max="8452" width="44.85546875" style="204" customWidth="1"/>
    <col min="8453" max="8705" width="24.5703125" style="204"/>
    <col min="8706" max="8707" width="24.5703125" style="204" customWidth="1"/>
    <col min="8708" max="8708" width="44.85546875" style="204" customWidth="1"/>
    <col min="8709" max="8961" width="24.5703125" style="204"/>
    <col min="8962" max="8963" width="24.5703125" style="204" customWidth="1"/>
    <col min="8964" max="8964" width="44.85546875" style="204" customWidth="1"/>
    <col min="8965" max="9217" width="24.5703125" style="204"/>
    <col min="9218" max="9219" width="24.5703125" style="204" customWidth="1"/>
    <col min="9220" max="9220" width="44.85546875" style="204" customWidth="1"/>
    <col min="9221" max="9473" width="24.5703125" style="204"/>
    <col min="9474" max="9475" width="24.5703125" style="204" customWidth="1"/>
    <col min="9476" max="9476" width="44.85546875" style="204" customWidth="1"/>
    <col min="9477" max="9729" width="24.5703125" style="204"/>
    <col min="9730" max="9731" width="24.5703125" style="204" customWidth="1"/>
    <col min="9732" max="9732" width="44.85546875" style="204" customWidth="1"/>
    <col min="9733" max="9985" width="24.5703125" style="204"/>
    <col min="9986" max="9987" width="24.5703125" style="204" customWidth="1"/>
    <col min="9988" max="9988" width="44.85546875" style="204" customWidth="1"/>
    <col min="9989" max="10241" width="24.5703125" style="204"/>
    <col min="10242" max="10243" width="24.5703125" style="204" customWidth="1"/>
    <col min="10244" max="10244" width="44.85546875" style="204" customWidth="1"/>
    <col min="10245" max="10497" width="24.5703125" style="204"/>
    <col min="10498" max="10499" width="24.5703125" style="204" customWidth="1"/>
    <col min="10500" max="10500" width="44.85546875" style="204" customWidth="1"/>
    <col min="10501" max="10753" width="24.5703125" style="204"/>
    <col min="10754" max="10755" width="24.5703125" style="204" customWidth="1"/>
    <col min="10756" max="10756" width="44.85546875" style="204" customWidth="1"/>
    <col min="10757" max="11009" width="24.5703125" style="204"/>
    <col min="11010" max="11011" width="24.5703125" style="204" customWidth="1"/>
    <col min="11012" max="11012" width="44.85546875" style="204" customWidth="1"/>
    <col min="11013" max="11265" width="24.5703125" style="204"/>
    <col min="11266" max="11267" width="24.5703125" style="204" customWidth="1"/>
    <col min="11268" max="11268" width="44.85546875" style="204" customWidth="1"/>
    <col min="11269" max="11521" width="24.5703125" style="204"/>
    <col min="11522" max="11523" width="24.5703125" style="204" customWidth="1"/>
    <col min="11524" max="11524" width="44.85546875" style="204" customWidth="1"/>
    <col min="11525" max="11777" width="24.5703125" style="204"/>
    <col min="11778" max="11779" width="24.5703125" style="204" customWidth="1"/>
    <col min="11780" max="11780" width="44.85546875" style="204" customWidth="1"/>
    <col min="11781" max="12033" width="24.5703125" style="204"/>
    <col min="12034" max="12035" width="24.5703125" style="204" customWidth="1"/>
    <col min="12036" max="12036" width="44.85546875" style="204" customWidth="1"/>
    <col min="12037" max="12289" width="24.5703125" style="204"/>
    <col min="12290" max="12291" width="24.5703125" style="204" customWidth="1"/>
    <col min="12292" max="12292" width="44.85546875" style="204" customWidth="1"/>
    <col min="12293" max="12545" width="24.5703125" style="204"/>
    <col min="12546" max="12547" width="24.5703125" style="204" customWidth="1"/>
    <col min="12548" max="12548" width="44.85546875" style="204" customWidth="1"/>
    <col min="12549" max="12801" width="24.5703125" style="204"/>
    <col min="12802" max="12803" width="24.5703125" style="204" customWidth="1"/>
    <col min="12804" max="12804" width="44.85546875" style="204" customWidth="1"/>
    <col min="12805" max="13057" width="24.5703125" style="204"/>
    <col min="13058" max="13059" width="24.5703125" style="204" customWidth="1"/>
    <col min="13060" max="13060" width="44.85546875" style="204" customWidth="1"/>
    <col min="13061" max="13313" width="24.5703125" style="204"/>
    <col min="13314" max="13315" width="24.5703125" style="204" customWidth="1"/>
    <col min="13316" max="13316" width="44.85546875" style="204" customWidth="1"/>
    <col min="13317" max="13569" width="24.5703125" style="204"/>
    <col min="13570" max="13571" width="24.5703125" style="204" customWidth="1"/>
    <col min="13572" max="13572" width="44.85546875" style="204" customWidth="1"/>
    <col min="13573" max="13825" width="24.5703125" style="204"/>
    <col min="13826" max="13827" width="24.5703125" style="204" customWidth="1"/>
    <col min="13828" max="13828" width="44.85546875" style="204" customWidth="1"/>
    <col min="13829" max="14081" width="24.5703125" style="204"/>
    <col min="14082" max="14083" width="24.5703125" style="204" customWidth="1"/>
    <col min="14084" max="14084" width="44.85546875" style="204" customWidth="1"/>
    <col min="14085" max="14337" width="24.5703125" style="204"/>
    <col min="14338" max="14339" width="24.5703125" style="204" customWidth="1"/>
    <col min="14340" max="14340" width="44.85546875" style="204" customWidth="1"/>
    <col min="14341" max="14593" width="24.5703125" style="204"/>
    <col min="14594" max="14595" width="24.5703125" style="204" customWidth="1"/>
    <col min="14596" max="14596" width="44.85546875" style="204" customWidth="1"/>
    <col min="14597" max="14849" width="24.5703125" style="204"/>
    <col min="14850" max="14851" width="24.5703125" style="204" customWidth="1"/>
    <col min="14852" max="14852" width="44.85546875" style="204" customWidth="1"/>
    <col min="14853" max="15105" width="24.5703125" style="204"/>
    <col min="15106" max="15107" width="24.5703125" style="204" customWidth="1"/>
    <col min="15108" max="15108" width="44.85546875" style="204" customWidth="1"/>
    <col min="15109" max="15361" width="24.5703125" style="204"/>
    <col min="15362" max="15363" width="24.5703125" style="204" customWidth="1"/>
    <col min="15364" max="15364" width="44.85546875" style="204" customWidth="1"/>
    <col min="15365" max="15617" width="24.5703125" style="204"/>
    <col min="15618" max="15619" width="24.5703125" style="204" customWidth="1"/>
    <col min="15620" max="15620" width="44.85546875" style="204" customWidth="1"/>
    <col min="15621" max="15873" width="24.5703125" style="204"/>
    <col min="15874" max="15875" width="24.5703125" style="204" customWidth="1"/>
    <col min="15876" max="15876" width="44.85546875" style="204" customWidth="1"/>
    <col min="15877" max="16129" width="24.5703125" style="204"/>
    <col min="16130" max="16131" width="24.5703125" style="204" customWidth="1"/>
    <col min="16132" max="16132" width="44.85546875" style="204" customWidth="1"/>
    <col min="16133" max="16384" width="24.5703125" style="204"/>
  </cols>
  <sheetData>
    <row r="1" spans="1:4" ht="32.25" thickTop="1" x14ac:dyDescent="0.25">
      <c r="B1" s="57" t="s">
        <v>1760</v>
      </c>
      <c r="C1" s="58" t="s">
        <v>1761</v>
      </c>
      <c r="D1" s="59" t="s">
        <v>1762</v>
      </c>
    </row>
    <row r="2" spans="1:4" ht="15.75" x14ac:dyDescent="0.25">
      <c r="A2" s="60" t="s">
        <v>73</v>
      </c>
      <c r="B2" s="60" t="s">
        <v>73</v>
      </c>
      <c r="C2" s="61" t="s">
        <v>73</v>
      </c>
      <c r="D2" s="62" t="s">
        <v>73</v>
      </c>
    </row>
    <row r="3" spans="1:4" ht="94.5" x14ac:dyDescent="0.25">
      <c r="A3" s="204" t="str">
        <f>+LEFT(B3,10)</f>
        <v>E2.P_E.MR1</v>
      </c>
      <c r="B3" s="95" t="s">
        <v>347</v>
      </c>
      <c r="C3" s="96" t="s">
        <v>1785</v>
      </c>
      <c r="D3" s="97" t="s">
        <v>1786</v>
      </c>
    </row>
    <row r="4" spans="1:4" ht="126" x14ac:dyDescent="0.25">
      <c r="A4" s="204" t="str">
        <f t="shared" ref="A4:A67" si="0">+LEFT(B4,10)</f>
        <v>E2.P_B.MR1</v>
      </c>
      <c r="B4" s="95" t="s">
        <v>311</v>
      </c>
      <c r="C4" s="96" t="s">
        <v>1787</v>
      </c>
      <c r="D4" s="97" t="s">
        <v>1788</v>
      </c>
    </row>
    <row r="5" spans="1:4" ht="63" x14ac:dyDescent="0.25">
      <c r="A5" s="204" t="str">
        <f t="shared" si="0"/>
        <v>E4.P_D.MR2</v>
      </c>
      <c r="B5" s="95" t="s">
        <v>596</v>
      </c>
      <c r="C5" s="96" t="s">
        <v>1789</v>
      </c>
      <c r="D5" s="97" t="s">
        <v>1790</v>
      </c>
    </row>
    <row r="6" spans="1:4" ht="126" x14ac:dyDescent="0.25">
      <c r="A6" s="204" t="str">
        <f t="shared" si="0"/>
        <v>E4.P_D.MR1</v>
      </c>
      <c r="B6" s="95" t="s">
        <v>587</v>
      </c>
      <c r="C6" s="96" t="s">
        <v>1791</v>
      </c>
      <c r="D6" s="97" t="s">
        <v>1792</v>
      </c>
    </row>
    <row r="7" spans="1:4" ht="126" x14ac:dyDescent="0.25">
      <c r="A7" s="204" t="str">
        <f t="shared" si="0"/>
        <v>E1.P_A.MR5</v>
      </c>
      <c r="B7" s="95" t="s">
        <v>140</v>
      </c>
      <c r="C7" s="96" t="s">
        <v>1793</v>
      </c>
      <c r="D7" s="97" t="s">
        <v>1794</v>
      </c>
    </row>
    <row r="8" spans="1:4" ht="78.75" x14ac:dyDescent="0.25">
      <c r="A8" s="204" t="str">
        <f t="shared" si="0"/>
        <v>E3.P_G.MR1</v>
      </c>
      <c r="B8" s="95" t="s">
        <v>465</v>
      </c>
      <c r="C8" s="96" t="s">
        <v>1795</v>
      </c>
      <c r="D8" s="97" t="s">
        <v>1796</v>
      </c>
    </row>
    <row r="9" spans="1:4" ht="61.5" customHeight="1" x14ac:dyDescent="0.25">
      <c r="A9" s="204" t="str">
        <f t="shared" si="0"/>
        <v>E3.P_H.MR1</v>
      </c>
      <c r="B9" s="95" t="s">
        <v>473</v>
      </c>
      <c r="C9" s="96" t="s">
        <v>1797</v>
      </c>
      <c r="D9" s="97" t="s">
        <v>1798</v>
      </c>
    </row>
    <row r="10" spans="1:4" ht="78.75" x14ac:dyDescent="0.25">
      <c r="A10" s="204" t="str">
        <f t="shared" si="0"/>
        <v>E3.P_I.MR1</v>
      </c>
      <c r="B10" s="95" t="s">
        <v>481</v>
      </c>
      <c r="C10" s="96" t="s">
        <v>1799</v>
      </c>
      <c r="D10" s="97" t="s">
        <v>1800</v>
      </c>
    </row>
    <row r="11" spans="1:4" ht="94.5" x14ac:dyDescent="0.25">
      <c r="A11" s="204" t="str">
        <f t="shared" si="0"/>
        <v>E3.P_J.MR1</v>
      </c>
      <c r="B11" s="95" t="s">
        <v>489</v>
      </c>
      <c r="C11" s="96" t="s">
        <v>1801</v>
      </c>
      <c r="D11" s="97" t="s">
        <v>1802</v>
      </c>
    </row>
    <row r="12" spans="1:4" ht="90.75" customHeight="1" x14ac:dyDescent="0.25">
      <c r="A12" s="204" t="str">
        <f t="shared" si="0"/>
        <v>E3.P_K.MR1</v>
      </c>
      <c r="B12" s="95" t="s">
        <v>497</v>
      </c>
      <c r="C12" s="96" t="s">
        <v>1803</v>
      </c>
      <c r="D12" s="97" t="s">
        <v>1804</v>
      </c>
    </row>
    <row r="13" spans="1:4" ht="94.5" x14ac:dyDescent="0.25">
      <c r="A13" s="204" t="str">
        <f t="shared" si="0"/>
        <v>E2.P_C.MR1</v>
      </c>
      <c r="B13" s="95" t="s">
        <v>322</v>
      </c>
      <c r="C13" s="96" t="s">
        <v>1805</v>
      </c>
      <c r="D13" s="97" t="s">
        <v>1806</v>
      </c>
    </row>
    <row r="14" spans="1:4" ht="78.75" x14ac:dyDescent="0.25">
      <c r="A14" s="204" t="str">
        <f t="shared" si="0"/>
        <v>E3.P_F.MR1</v>
      </c>
      <c r="B14" s="95" t="s">
        <v>457</v>
      </c>
      <c r="C14" s="96" t="s">
        <v>1807</v>
      </c>
      <c r="D14" s="97" t="s">
        <v>1808</v>
      </c>
    </row>
    <row r="15" spans="1:4" ht="78" customHeight="1" x14ac:dyDescent="0.25">
      <c r="A15" s="204" t="str">
        <f t="shared" si="0"/>
        <v>E2.P_D.MR1</v>
      </c>
      <c r="B15" s="95" t="s">
        <v>336</v>
      </c>
      <c r="C15" s="96" t="s">
        <v>1809</v>
      </c>
      <c r="D15" s="97" t="s">
        <v>1810</v>
      </c>
    </row>
    <row r="16" spans="1:4" ht="67.5" customHeight="1" x14ac:dyDescent="0.25">
      <c r="A16" s="204" t="str">
        <f t="shared" si="0"/>
        <v>E1.P_E.MR1</v>
      </c>
      <c r="B16" s="95" t="s">
        <v>207</v>
      </c>
      <c r="C16" s="96" t="s">
        <v>1811</v>
      </c>
      <c r="D16" s="97" t="s">
        <v>1812</v>
      </c>
    </row>
    <row r="17" spans="1:4" ht="110.25" x14ac:dyDescent="0.25">
      <c r="A17" s="204" t="str">
        <f t="shared" si="0"/>
        <v>E1.P_H.MR1</v>
      </c>
      <c r="B17" s="95" t="s">
        <v>263</v>
      </c>
      <c r="C17" s="96" t="s">
        <v>1813</v>
      </c>
      <c r="D17" s="97" t="s">
        <v>1814</v>
      </c>
    </row>
    <row r="18" spans="1:4" ht="78" customHeight="1" x14ac:dyDescent="0.25">
      <c r="A18" s="204" t="str">
        <f t="shared" si="0"/>
        <v>E1.P_C.MR1</v>
      </c>
      <c r="B18" s="95" t="s">
        <v>185</v>
      </c>
      <c r="C18" s="96" t="s">
        <v>1815</v>
      </c>
      <c r="D18" s="97" t="s">
        <v>1816</v>
      </c>
    </row>
    <row r="19" spans="1:4" ht="141.75" x14ac:dyDescent="0.25">
      <c r="A19" s="204" t="str">
        <f t="shared" si="0"/>
        <v>E1.P_D.MR1</v>
      </c>
      <c r="B19" s="95" t="s">
        <v>196</v>
      </c>
      <c r="C19" s="96" t="s">
        <v>1817</v>
      </c>
      <c r="D19" s="97" t="s">
        <v>1818</v>
      </c>
    </row>
    <row r="20" spans="1:4" ht="63" x14ac:dyDescent="0.25">
      <c r="A20" s="204" t="str">
        <f t="shared" si="0"/>
        <v>E1.P_A.MR4</v>
      </c>
      <c r="B20" s="95" t="s">
        <v>130</v>
      </c>
      <c r="C20" s="96" t="s">
        <v>1819</v>
      </c>
      <c r="D20" s="97" t="s">
        <v>1820</v>
      </c>
    </row>
    <row r="21" spans="1:4" ht="47.25" x14ac:dyDescent="0.25">
      <c r="A21" s="204" t="str">
        <f t="shared" si="0"/>
        <v>E4.P_A.MR1</v>
      </c>
      <c r="B21" s="95" t="s">
        <v>539</v>
      </c>
      <c r="C21" s="96" t="s">
        <v>1821</v>
      </c>
      <c r="D21" s="97" t="s">
        <v>1822</v>
      </c>
    </row>
    <row r="22" spans="1:4" ht="47.25" x14ac:dyDescent="0.25">
      <c r="A22" s="204" t="str">
        <f t="shared" si="0"/>
        <v>E4.P_A.MR2</v>
      </c>
      <c r="B22" s="95" t="s">
        <v>549</v>
      </c>
      <c r="C22" s="96" t="s">
        <v>1823</v>
      </c>
      <c r="D22" s="97" t="s">
        <v>1824</v>
      </c>
    </row>
    <row r="23" spans="1:4" ht="96" customHeight="1" x14ac:dyDescent="0.25">
      <c r="A23" s="204" t="str">
        <f t="shared" si="0"/>
        <v>E1.P_F.MR1</v>
      </c>
      <c r="B23" s="95" t="s">
        <v>222</v>
      </c>
      <c r="C23" s="96" t="s">
        <v>1825</v>
      </c>
      <c r="D23" s="97" t="s">
        <v>1826</v>
      </c>
    </row>
    <row r="24" spans="1:4" ht="63.75" customHeight="1" x14ac:dyDescent="0.25">
      <c r="A24" s="204" t="str">
        <f t="shared" si="0"/>
        <v>E4.P_A.MR3</v>
      </c>
      <c r="B24" s="95" t="s">
        <v>556</v>
      </c>
      <c r="C24" s="96" t="s">
        <v>1827</v>
      </c>
      <c r="D24" s="97" t="s">
        <v>1828</v>
      </c>
    </row>
    <row r="25" spans="1:4" ht="66" customHeight="1" x14ac:dyDescent="0.25">
      <c r="A25" s="204" t="str">
        <f t="shared" si="0"/>
        <v>E1.P_F.MR2</v>
      </c>
      <c r="B25" s="95" t="s">
        <v>234</v>
      </c>
      <c r="C25" s="96" t="s">
        <v>1829</v>
      </c>
      <c r="D25" s="97" t="s">
        <v>1830</v>
      </c>
    </row>
    <row r="26" spans="1:4" ht="110.25" x14ac:dyDescent="0.25">
      <c r="A26" s="204" t="str">
        <f t="shared" si="0"/>
        <v>E4.P_A.MR4</v>
      </c>
      <c r="B26" s="95" t="s">
        <v>563</v>
      </c>
      <c r="C26" s="96" t="s">
        <v>1831</v>
      </c>
      <c r="D26" s="97" t="s">
        <v>1832</v>
      </c>
    </row>
    <row r="27" spans="1:4" ht="63" x14ac:dyDescent="0.25">
      <c r="A27" s="204" t="str">
        <f t="shared" si="0"/>
        <v>E1.P_A.MR2</v>
      </c>
      <c r="B27" s="95" t="s">
        <v>110</v>
      </c>
      <c r="C27" s="96" t="s">
        <v>1833</v>
      </c>
      <c r="D27" s="97" t="s">
        <v>1834</v>
      </c>
    </row>
    <row r="28" spans="1:4" ht="64.5" customHeight="1" x14ac:dyDescent="0.25">
      <c r="A28" s="204" t="str">
        <f t="shared" si="0"/>
        <v>E1.P_J.MR1</v>
      </c>
      <c r="B28" s="95" t="s">
        <v>288</v>
      </c>
      <c r="C28" s="96" t="s">
        <v>1835</v>
      </c>
      <c r="D28" s="97" t="s">
        <v>1836</v>
      </c>
    </row>
    <row r="29" spans="1:4" ht="78.75" customHeight="1" x14ac:dyDescent="0.25">
      <c r="A29" s="204" t="str">
        <f t="shared" si="0"/>
        <v>E3.P_B.MR1</v>
      </c>
      <c r="B29" s="95" t="s">
        <v>395</v>
      </c>
      <c r="C29" s="96" t="s">
        <v>1837</v>
      </c>
      <c r="D29" s="97" t="s">
        <v>1838</v>
      </c>
    </row>
    <row r="30" spans="1:4" ht="108.75" customHeight="1" x14ac:dyDescent="0.25">
      <c r="A30" s="204" t="str">
        <f t="shared" si="0"/>
        <v>E4.P_C.MR1</v>
      </c>
      <c r="B30" s="95" t="s">
        <v>579</v>
      </c>
      <c r="C30" s="96" t="s">
        <v>1839</v>
      </c>
      <c r="D30" s="97" t="s">
        <v>1840</v>
      </c>
    </row>
    <row r="31" spans="1:4" ht="65.25" customHeight="1" x14ac:dyDescent="0.25">
      <c r="A31" s="204" t="str">
        <f t="shared" si="0"/>
        <v>E2.P_A.MR1</v>
      </c>
      <c r="B31" s="95" t="s">
        <v>299</v>
      </c>
      <c r="C31" s="96" t="s">
        <v>1841</v>
      </c>
      <c r="D31" s="97" t="s">
        <v>1842</v>
      </c>
    </row>
    <row r="32" spans="1:4" ht="93" customHeight="1" x14ac:dyDescent="0.25">
      <c r="A32" s="204" t="str">
        <f t="shared" si="0"/>
        <v>E1.P_G.MR1</v>
      </c>
      <c r="B32" s="95" t="s">
        <v>243</v>
      </c>
      <c r="C32" s="96" t="s">
        <v>1843</v>
      </c>
      <c r="D32" s="97" t="s">
        <v>1844</v>
      </c>
    </row>
    <row r="33" spans="1:4" ht="81" customHeight="1" x14ac:dyDescent="0.25">
      <c r="A33" s="204" t="str">
        <f t="shared" si="0"/>
        <v>E1.P_G.MR2</v>
      </c>
      <c r="B33" s="95" t="s">
        <v>254</v>
      </c>
      <c r="C33" s="96" t="s">
        <v>1845</v>
      </c>
      <c r="D33" s="97" t="s">
        <v>1846</v>
      </c>
    </row>
    <row r="34" spans="1:4" ht="63" customHeight="1" x14ac:dyDescent="0.25">
      <c r="A34" s="204" t="str">
        <f t="shared" si="0"/>
        <v>E3.P_L.MR2</v>
      </c>
      <c r="B34" s="95" t="s">
        <v>513</v>
      </c>
      <c r="C34" s="96" t="s">
        <v>1847</v>
      </c>
      <c r="D34" s="97" t="s">
        <v>1848</v>
      </c>
    </row>
    <row r="35" spans="1:4" ht="78" customHeight="1" x14ac:dyDescent="0.25">
      <c r="A35" s="204" t="str">
        <f t="shared" si="0"/>
        <v>E3.P_L.MR3</v>
      </c>
      <c r="B35" s="95" t="s">
        <v>520</v>
      </c>
      <c r="C35" s="96" t="s">
        <v>1849</v>
      </c>
      <c r="D35" s="97" t="s">
        <v>1850</v>
      </c>
    </row>
    <row r="36" spans="1:4" ht="63.75" customHeight="1" x14ac:dyDescent="0.25">
      <c r="A36" s="204" t="str">
        <f t="shared" si="0"/>
        <v>E2.P_F.MR1</v>
      </c>
      <c r="B36" s="95" t="s">
        <v>358</v>
      </c>
      <c r="C36" s="96" t="s">
        <v>1851</v>
      </c>
      <c r="D36" s="97" t="s">
        <v>1852</v>
      </c>
    </row>
    <row r="37" spans="1:4" ht="110.25" x14ac:dyDescent="0.25">
      <c r="A37" s="204" t="str">
        <f t="shared" si="0"/>
        <v>E3.P_A.MR1</v>
      </c>
      <c r="B37" s="95" t="s">
        <v>383</v>
      </c>
      <c r="C37" s="96" t="s">
        <v>1853</v>
      </c>
      <c r="D37" s="97" t="s">
        <v>1854</v>
      </c>
    </row>
    <row r="38" spans="1:4" ht="94.5" x14ac:dyDescent="0.25">
      <c r="A38" s="204" t="str">
        <f t="shared" si="0"/>
        <v>E2.P_F.MR2</v>
      </c>
      <c r="B38" s="95" t="s">
        <v>369</v>
      </c>
      <c r="C38" s="96" t="s">
        <v>1855</v>
      </c>
      <c r="D38" s="97" t="s">
        <v>1856</v>
      </c>
    </row>
    <row r="39" spans="1:4" ht="78.75" x14ac:dyDescent="0.25">
      <c r="A39" s="204" t="str">
        <f t="shared" si="0"/>
        <v>E1.P_B.MR1</v>
      </c>
      <c r="B39" s="95" t="s">
        <v>150</v>
      </c>
      <c r="C39" s="96" t="s">
        <v>1857</v>
      </c>
      <c r="D39" s="97" t="s">
        <v>1858</v>
      </c>
    </row>
    <row r="40" spans="1:4" ht="157.5" x14ac:dyDescent="0.25">
      <c r="A40" s="204" t="str">
        <f t="shared" si="0"/>
        <v>E3.P_E.MR1</v>
      </c>
      <c r="B40" s="95" t="s">
        <v>446</v>
      </c>
      <c r="C40" s="96" t="s">
        <v>1859</v>
      </c>
      <c r="D40" s="97" t="s">
        <v>1860</v>
      </c>
    </row>
    <row r="41" spans="1:4" ht="110.25" x14ac:dyDescent="0.25">
      <c r="A41" s="204" t="str">
        <f t="shared" si="0"/>
        <v>E1.P_B.MR2</v>
      </c>
      <c r="B41" s="95" t="s">
        <v>164</v>
      </c>
      <c r="C41" s="96" t="s">
        <v>1861</v>
      </c>
      <c r="D41" s="97" t="s">
        <v>1862</v>
      </c>
    </row>
    <row r="42" spans="1:4" ht="157.5" x14ac:dyDescent="0.25">
      <c r="A42" s="204" t="str">
        <f t="shared" si="0"/>
        <v>E1.P_B.MR3</v>
      </c>
      <c r="B42" s="95" t="s">
        <v>176</v>
      </c>
      <c r="C42" s="96" t="s">
        <v>1863</v>
      </c>
      <c r="D42" s="97" t="s">
        <v>1864</v>
      </c>
    </row>
    <row r="43" spans="1:4" ht="78.75" x14ac:dyDescent="0.25">
      <c r="A43" s="204" t="str">
        <f t="shared" si="0"/>
        <v>E3.P_C.MR1</v>
      </c>
      <c r="B43" s="95" t="s">
        <v>406</v>
      </c>
      <c r="C43" s="96" t="s">
        <v>1865</v>
      </c>
      <c r="D43" s="97" t="s">
        <v>1866</v>
      </c>
    </row>
    <row r="44" spans="1:4" ht="51" customHeight="1" x14ac:dyDescent="0.25">
      <c r="A44" s="204" t="str">
        <f t="shared" si="0"/>
        <v>E1.P_A.MR3</v>
      </c>
      <c r="B44" s="95" t="s">
        <v>120</v>
      </c>
      <c r="C44" s="96" t="s">
        <v>1867</v>
      </c>
      <c r="D44" s="97" t="s">
        <v>1868</v>
      </c>
    </row>
    <row r="45" spans="1:4" ht="78.75" x14ac:dyDescent="0.25">
      <c r="A45" s="204" t="str">
        <f t="shared" si="0"/>
        <v>E3.P_L.MR1</v>
      </c>
      <c r="B45" s="95" t="s">
        <v>505</v>
      </c>
      <c r="C45" s="96" t="s">
        <v>1869</v>
      </c>
      <c r="D45" s="97" t="s">
        <v>1870</v>
      </c>
    </row>
    <row r="46" spans="1:4" ht="93.75" customHeight="1" x14ac:dyDescent="0.25">
      <c r="A46" s="204" t="str">
        <f t="shared" si="0"/>
        <v>E1.P_I.MR1</v>
      </c>
      <c r="B46" s="95" t="s">
        <v>277</v>
      </c>
      <c r="C46" s="96" t="s">
        <v>1871</v>
      </c>
      <c r="D46" s="97" t="s">
        <v>1872</v>
      </c>
    </row>
    <row r="47" spans="1:4" ht="110.25" customHeight="1" x14ac:dyDescent="0.25">
      <c r="A47" s="204" t="str">
        <f t="shared" si="0"/>
        <v>E1.P_A.MR1</v>
      </c>
      <c r="B47" s="95" t="s">
        <v>83</v>
      </c>
      <c r="C47" s="96" t="s">
        <v>1873</v>
      </c>
      <c r="D47" s="97" t="s">
        <v>1874</v>
      </c>
    </row>
    <row r="48" spans="1:4" ht="94.5" x14ac:dyDescent="0.25">
      <c r="A48" s="204" t="str">
        <f t="shared" si="0"/>
        <v>E3.P_L.MR4</v>
      </c>
      <c r="B48" s="95" t="s">
        <v>527</v>
      </c>
      <c r="C48" s="96" t="s">
        <v>1875</v>
      </c>
      <c r="D48" s="97" t="s">
        <v>1876</v>
      </c>
    </row>
    <row r="49" spans="1:4" ht="189" x14ac:dyDescent="0.25">
      <c r="A49" s="204" t="str">
        <f t="shared" si="0"/>
        <v>E3.P_C.MR2</v>
      </c>
      <c r="B49" s="95" t="s">
        <v>417</v>
      </c>
      <c r="C49" s="96" t="s">
        <v>1877</v>
      </c>
      <c r="D49" s="97" t="s">
        <v>1878</v>
      </c>
    </row>
    <row r="50" spans="1:4" ht="78.75" x14ac:dyDescent="0.25">
      <c r="A50" s="204" t="str">
        <f t="shared" si="0"/>
        <v>E4.P_E.MR1</v>
      </c>
      <c r="B50" s="95" t="s">
        <v>606</v>
      </c>
      <c r="C50" s="96" t="s">
        <v>1879</v>
      </c>
      <c r="D50" s="97" t="s">
        <v>1880</v>
      </c>
    </row>
    <row r="51" spans="1:4" ht="157.5" x14ac:dyDescent="0.25">
      <c r="A51" s="204" t="str">
        <f t="shared" si="0"/>
        <v>E1.P_A.MR1</v>
      </c>
      <c r="B51" s="95" t="s">
        <v>97</v>
      </c>
      <c r="C51" s="96" t="s">
        <v>1881</v>
      </c>
      <c r="D51" s="97" t="s">
        <v>1882</v>
      </c>
    </row>
    <row r="52" spans="1:4" ht="63" x14ac:dyDescent="0.25">
      <c r="A52" s="204" t="str">
        <f t="shared" si="0"/>
        <v>E4.P_D.MR3</v>
      </c>
      <c r="B52" s="95" t="s">
        <v>601</v>
      </c>
      <c r="C52" s="96" t="s">
        <v>1883</v>
      </c>
      <c r="D52" s="97" t="s">
        <v>1884</v>
      </c>
    </row>
    <row r="53" spans="1:4" ht="126" x14ac:dyDescent="0.25">
      <c r="A53" s="204" t="str">
        <f t="shared" si="0"/>
        <v>E3.P_D.MR1</v>
      </c>
      <c r="B53" s="95" t="s">
        <v>428</v>
      </c>
      <c r="C53" s="96" t="s">
        <v>1885</v>
      </c>
      <c r="D53" s="97" t="s">
        <v>1886</v>
      </c>
    </row>
    <row r="54" spans="1:4" ht="126" x14ac:dyDescent="0.25">
      <c r="A54" s="204" t="str">
        <f t="shared" si="0"/>
        <v>E3.P_D.MR2</v>
      </c>
      <c r="B54" s="95" t="s">
        <v>439</v>
      </c>
      <c r="C54" s="96" t="s">
        <v>1887</v>
      </c>
      <c r="D54" s="97" t="s">
        <v>1886</v>
      </c>
    </row>
    <row r="55" spans="1:4" ht="157.5" x14ac:dyDescent="0.25">
      <c r="A55" s="204" t="str">
        <f t="shared" si="0"/>
        <v>E4.P_B.MR1</v>
      </c>
      <c r="B55" s="95" t="s">
        <v>570</v>
      </c>
      <c r="C55" s="96" t="s">
        <v>1888</v>
      </c>
      <c r="D55" s="97" t="s">
        <v>1889</v>
      </c>
    </row>
    <row r="56" spans="1:4" ht="15.75" x14ac:dyDescent="0.25">
      <c r="A56" s="204" t="str">
        <f t="shared" si="0"/>
        <v/>
      </c>
      <c r="B56" s="95"/>
      <c r="C56" s="96"/>
      <c r="D56" s="97"/>
    </row>
    <row r="57" spans="1:4" ht="15.75" x14ac:dyDescent="0.25">
      <c r="A57" s="204" t="str">
        <f t="shared" si="0"/>
        <v/>
      </c>
      <c r="B57" s="95"/>
      <c r="C57" s="96"/>
      <c r="D57" s="97"/>
    </row>
    <row r="58" spans="1:4" ht="15.75" x14ac:dyDescent="0.25">
      <c r="A58" s="204" t="str">
        <f t="shared" si="0"/>
        <v/>
      </c>
      <c r="B58" s="95"/>
      <c r="C58" s="96"/>
      <c r="D58" s="97"/>
    </row>
    <row r="59" spans="1:4" ht="15.75" x14ac:dyDescent="0.25">
      <c r="A59" s="204" t="str">
        <f t="shared" si="0"/>
        <v/>
      </c>
      <c r="B59" s="95"/>
      <c r="C59" s="96"/>
      <c r="D59" s="97"/>
    </row>
    <row r="60" spans="1:4" ht="15.75" x14ac:dyDescent="0.25">
      <c r="A60" s="204" t="str">
        <f t="shared" si="0"/>
        <v/>
      </c>
      <c r="B60" s="95"/>
      <c r="C60" s="96"/>
      <c r="D60" s="97"/>
    </row>
    <row r="61" spans="1:4" ht="15.75" x14ac:dyDescent="0.25">
      <c r="A61" s="204" t="str">
        <f t="shared" si="0"/>
        <v/>
      </c>
      <c r="B61" s="95"/>
      <c r="C61" s="96"/>
      <c r="D61" s="97"/>
    </row>
    <row r="62" spans="1:4" ht="15.75" x14ac:dyDescent="0.25">
      <c r="A62" s="204" t="str">
        <f t="shared" si="0"/>
        <v/>
      </c>
      <c r="B62" s="95"/>
      <c r="C62" s="96"/>
      <c r="D62" s="97"/>
    </row>
    <row r="63" spans="1:4" ht="15.75" x14ac:dyDescent="0.25">
      <c r="A63" s="204" t="str">
        <f t="shared" si="0"/>
        <v/>
      </c>
      <c r="B63" s="95"/>
      <c r="C63" s="96"/>
      <c r="D63" s="97"/>
    </row>
    <row r="64" spans="1:4" ht="15.75" x14ac:dyDescent="0.25">
      <c r="A64" s="204" t="str">
        <f t="shared" si="0"/>
        <v/>
      </c>
      <c r="B64" s="95"/>
      <c r="C64" s="96"/>
      <c r="D64" s="97"/>
    </row>
    <row r="65" spans="1:4" ht="15.75" x14ac:dyDescent="0.25">
      <c r="A65" s="204" t="str">
        <f t="shared" si="0"/>
        <v/>
      </c>
      <c r="B65" s="95"/>
      <c r="C65" s="96"/>
      <c r="D65" s="97"/>
    </row>
    <row r="66" spans="1:4" ht="15.75" x14ac:dyDescent="0.25">
      <c r="A66" s="204" t="str">
        <f t="shared" si="0"/>
        <v/>
      </c>
      <c r="B66" s="95"/>
      <c r="C66" s="96"/>
      <c r="D66" s="97"/>
    </row>
    <row r="67" spans="1:4" ht="15.75" x14ac:dyDescent="0.25">
      <c r="A67" s="204" t="str">
        <f t="shared" si="0"/>
        <v/>
      </c>
      <c r="B67" s="95"/>
      <c r="C67" s="96"/>
      <c r="D67" s="97"/>
    </row>
    <row r="68" spans="1:4" ht="15.75" x14ac:dyDescent="0.25">
      <c r="A68" s="204" t="str">
        <f t="shared" ref="A68:A82" si="1">+LEFT(B68,10)</f>
        <v/>
      </c>
      <c r="B68" s="95"/>
      <c r="C68" s="96"/>
      <c r="D68" s="97"/>
    </row>
    <row r="69" spans="1:4" ht="15.75" x14ac:dyDescent="0.25">
      <c r="A69" s="204" t="str">
        <f t="shared" si="1"/>
        <v/>
      </c>
      <c r="B69" s="95"/>
      <c r="C69" s="96"/>
      <c r="D69" s="97"/>
    </row>
    <row r="70" spans="1:4" ht="15.75" x14ac:dyDescent="0.25">
      <c r="A70" s="204" t="str">
        <f t="shared" si="1"/>
        <v/>
      </c>
      <c r="B70" s="95"/>
      <c r="C70" s="96"/>
      <c r="D70" s="97"/>
    </row>
    <row r="71" spans="1:4" ht="15.75" x14ac:dyDescent="0.25">
      <c r="A71" s="204" t="str">
        <f t="shared" si="1"/>
        <v/>
      </c>
      <c r="B71" s="95"/>
      <c r="C71" s="96"/>
      <c r="D71" s="97"/>
    </row>
    <row r="72" spans="1:4" ht="15.75" x14ac:dyDescent="0.25">
      <c r="A72" s="204" t="str">
        <f t="shared" si="1"/>
        <v/>
      </c>
      <c r="B72" s="95"/>
      <c r="C72" s="96"/>
      <c r="D72" s="97"/>
    </row>
    <row r="73" spans="1:4" ht="15.75" x14ac:dyDescent="0.25">
      <c r="A73" s="204" t="str">
        <f t="shared" si="1"/>
        <v/>
      </c>
      <c r="B73" s="95"/>
      <c r="C73" s="96"/>
      <c r="D73" s="97"/>
    </row>
    <row r="74" spans="1:4" ht="15.75" x14ac:dyDescent="0.25">
      <c r="A74" s="204" t="str">
        <f t="shared" si="1"/>
        <v/>
      </c>
      <c r="B74" s="95"/>
      <c r="C74" s="96"/>
      <c r="D74" s="97"/>
    </row>
    <row r="75" spans="1:4" ht="15.75" x14ac:dyDescent="0.25">
      <c r="A75" s="204" t="str">
        <f t="shared" si="1"/>
        <v/>
      </c>
      <c r="B75" s="95"/>
      <c r="C75" s="96"/>
      <c r="D75" s="97"/>
    </row>
    <row r="76" spans="1:4" ht="15.75" x14ac:dyDescent="0.25">
      <c r="A76" s="204" t="str">
        <f t="shared" si="1"/>
        <v/>
      </c>
      <c r="B76" s="95"/>
      <c r="C76" s="96"/>
      <c r="D76" s="97"/>
    </row>
    <row r="77" spans="1:4" ht="15.75" x14ac:dyDescent="0.25">
      <c r="A77" s="204" t="str">
        <f t="shared" si="1"/>
        <v/>
      </c>
      <c r="B77" s="95"/>
      <c r="C77" s="96"/>
      <c r="D77" s="97"/>
    </row>
    <row r="78" spans="1:4" ht="15.75" x14ac:dyDescent="0.25">
      <c r="A78" s="204" t="str">
        <f t="shared" si="1"/>
        <v/>
      </c>
      <c r="B78" s="95"/>
      <c r="C78" s="96"/>
      <c r="D78" s="97"/>
    </row>
    <row r="79" spans="1:4" ht="15.75" x14ac:dyDescent="0.25">
      <c r="A79" s="204" t="str">
        <f t="shared" si="1"/>
        <v/>
      </c>
      <c r="B79" s="95"/>
      <c r="C79" s="96"/>
      <c r="D79" s="97"/>
    </row>
    <row r="80" spans="1:4" ht="15.75" x14ac:dyDescent="0.25">
      <c r="A80" s="204" t="str">
        <f t="shared" si="1"/>
        <v/>
      </c>
      <c r="B80" s="95"/>
      <c r="C80" s="96"/>
      <c r="D80" s="97"/>
    </row>
    <row r="81" spans="1:4" ht="15.75" x14ac:dyDescent="0.25">
      <c r="A81" s="204" t="str">
        <f t="shared" si="1"/>
        <v/>
      </c>
      <c r="B81" s="95"/>
      <c r="C81" s="96"/>
      <c r="D81" s="97"/>
    </row>
    <row r="82" spans="1:4" ht="15.75" x14ac:dyDescent="0.25">
      <c r="A82" s="204" t="str">
        <f t="shared" si="1"/>
        <v/>
      </c>
      <c r="B82" s="95"/>
      <c r="C82" s="96"/>
      <c r="D82" s="97"/>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activeCell="L5" sqref="L5:P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1" t="s">
        <v>1962</v>
      </c>
      <c r="B1" s="1031"/>
      <c r="C1" s="1031"/>
      <c r="D1" s="1031"/>
      <c r="E1" s="1031"/>
      <c r="F1" s="1031"/>
      <c r="G1" s="1031"/>
      <c r="H1" s="1031"/>
      <c r="I1" s="1031"/>
      <c r="J1" s="1031"/>
      <c r="K1" s="1031"/>
      <c r="L1" s="1031"/>
      <c r="M1" s="1031"/>
      <c r="N1" s="1031"/>
      <c r="O1" s="1031"/>
      <c r="P1" s="1031"/>
    </row>
    <row r="2" spans="1:18" s="64" customFormat="1" ht="48" customHeight="1" x14ac:dyDescent="0.2">
      <c r="A2" s="63" t="s">
        <v>1763</v>
      </c>
      <c r="B2" s="1032" t="s">
        <v>1764</v>
      </c>
      <c r="C2" s="1033"/>
      <c r="D2" s="1033"/>
      <c r="E2" s="1033"/>
      <c r="F2" s="1033"/>
      <c r="G2" s="1033"/>
      <c r="H2" s="1034"/>
      <c r="I2" s="1032" t="s">
        <v>1765</v>
      </c>
      <c r="J2" s="1033"/>
      <c r="K2" s="1034"/>
      <c r="L2" s="1035" t="s">
        <v>1766</v>
      </c>
      <c r="M2" s="1035"/>
      <c r="N2" s="1035"/>
      <c r="O2" s="1035"/>
      <c r="P2" s="1036"/>
    </row>
    <row r="3" spans="1:18" ht="51" x14ac:dyDescent="0.2">
      <c r="A3" s="65" t="s">
        <v>1767</v>
      </c>
      <c r="B3" s="66" t="s">
        <v>1768</v>
      </c>
      <c r="C3" s="67" t="s">
        <v>1769</v>
      </c>
      <c r="D3" s="67" t="s">
        <v>1918</v>
      </c>
      <c r="E3" s="67" t="s">
        <v>1917</v>
      </c>
      <c r="F3" s="67" t="s">
        <v>1919</v>
      </c>
      <c r="G3" s="67" t="s">
        <v>1920</v>
      </c>
      <c r="H3" s="1037" t="s">
        <v>1693</v>
      </c>
      <c r="I3" s="66" t="s">
        <v>1770</v>
      </c>
      <c r="J3" s="67" t="s">
        <v>1771</v>
      </c>
      <c r="K3" s="1037" t="s">
        <v>1696</v>
      </c>
      <c r="L3" s="66" t="s">
        <v>1772</v>
      </c>
      <c r="M3" s="67" t="s">
        <v>1698</v>
      </c>
      <c r="N3" s="67" t="s">
        <v>1773</v>
      </c>
      <c r="O3" s="67" t="s">
        <v>1774</v>
      </c>
      <c r="P3" s="68" t="s">
        <v>1775</v>
      </c>
    </row>
    <row r="4" spans="1:18" ht="18" x14ac:dyDescent="0.2">
      <c r="A4" s="65" t="s">
        <v>1776</v>
      </c>
      <c r="B4" s="69" t="s">
        <v>1687</v>
      </c>
      <c r="C4" s="70" t="s">
        <v>1688</v>
      </c>
      <c r="D4" s="70" t="s">
        <v>1777</v>
      </c>
      <c r="E4" s="70" t="s">
        <v>1690</v>
      </c>
      <c r="F4" s="70" t="s">
        <v>1691</v>
      </c>
      <c r="G4" s="70" t="s">
        <v>1692</v>
      </c>
      <c r="H4" s="1037"/>
      <c r="I4" s="71" t="s">
        <v>1694</v>
      </c>
      <c r="J4" s="72" t="s">
        <v>1695</v>
      </c>
      <c r="K4" s="1037"/>
      <c r="L4" s="71" t="s">
        <v>1697</v>
      </c>
      <c r="M4" s="72" t="s">
        <v>1698</v>
      </c>
      <c r="N4" s="72" t="s">
        <v>1699</v>
      </c>
      <c r="O4" s="72" t="s">
        <v>1700</v>
      </c>
      <c r="P4" s="73" t="s">
        <v>1701</v>
      </c>
      <c r="Q4" s="2"/>
      <c r="R4" s="2"/>
    </row>
    <row r="5" spans="1:18" ht="36.75" thickBot="1" x14ac:dyDescent="0.25">
      <c r="A5" s="74" t="s">
        <v>1778</v>
      </c>
      <c r="B5" s="75">
        <v>2444</v>
      </c>
      <c r="C5" s="76">
        <v>3872</v>
      </c>
      <c r="D5" s="76">
        <v>4033</v>
      </c>
      <c r="E5" s="76">
        <v>7785</v>
      </c>
      <c r="F5" s="76">
        <v>14556</v>
      </c>
      <c r="G5" s="76">
        <v>2316</v>
      </c>
      <c r="H5" s="77">
        <f>SUM(B5:G5)</f>
        <v>35006</v>
      </c>
      <c r="I5" s="78">
        <v>17977</v>
      </c>
      <c r="J5" s="79">
        <v>17029</v>
      </c>
      <c r="K5" s="77">
        <f>SUM(I5:J5)</f>
        <v>35006</v>
      </c>
      <c r="L5" s="80"/>
      <c r="M5" s="81"/>
      <c r="N5" s="807">
        <v>786</v>
      </c>
      <c r="O5" s="81"/>
      <c r="P5" s="82"/>
    </row>
    <row r="6" spans="1:18" x14ac:dyDescent="0.2">
      <c r="H6" s="83"/>
    </row>
    <row r="10" spans="1:18" ht="15" x14ac:dyDescent="0.25">
      <c r="A10" s="867" t="s">
        <v>1963</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E3.P_A.MR1 - INFRAESTRUCTURAS INSTITUCIONALES COMUNITARIAS</Descripci_x00f3_n>
  </documentManagement>
</p:properties>
</file>

<file path=customXml/itemProps1.xml><?xml version="1.0" encoding="utf-8"?>
<ds:datastoreItem xmlns:ds="http://schemas.openxmlformats.org/officeDocument/2006/customXml" ds:itemID="{DC17E67E-1FD6-4416-9E12-27515D34872A}"/>
</file>

<file path=customXml/itemProps2.xml><?xml version="1.0" encoding="utf-8"?>
<ds:datastoreItem xmlns:ds="http://schemas.openxmlformats.org/officeDocument/2006/customXml" ds:itemID="{250C0C91-C790-472E-BC17-5462EA111B75}"/>
</file>

<file path=customXml/itemProps3.xml><?xml version="1.0" encoding="utf-8"?>
<ds:datastoreItem xmlns:ds="http://schemas.openxmlformats.org/officeDocument/2006/customXml" ds:itemID="{DB93AF26-57E9-4064-B322-51A897410CF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E3.P_A.MR1 - INFRAESTRUCTURAS INSTITUCIONALES COMUNITARIAS</dc:title>
  <dc:creator>FARID</dc:creator>
  <cp:lastModifiedBy>Adriana Mora</cp:lastModifiedBy>
  <dcterms:created xsi:type="dcterms:W3CDTF">2017-01-16T16:29:25Z</dcterms:created>
  <dcterms:modified xsi:type="dcterms:W3CDTF">2020-01-29T17:07:16Z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